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9120" firstSheet="2" activeTab="3"/>
  </bookViews>
  <sheets>
    <sheet name="แบ่งงวดงาน" sheetId="1" state="hidden" r:id="rId1"/>
    <sheet name="ตารางแบ่งงวด" sheetId="2" state="hidden" r:id="rId2"/>
    <sheet name="ปร.4" sheetId="3" r:id="rId3"/>
    <sheet name="ปร.5" sheetId="4" r:id="rId4"/>
    <sheet name="ปร.6  B.O.Q." sheetId="5" state="hidden" r:id="rId5"/>
    <sheet name="ใบปะหน้า B.O.Q." sheetId="6" state="hidden" r:id="rId6"/>
    <sheet name="หัวตาราง B.O.Q." sheetId="7" state="hidden" r:id="rId7"/>
    <sheet name="ค่าอำนวยการ" sheetId="8" state="hidden" r:id="rId8"/>
    <sheet name="ตารางค่าอำนวยการ" sheetId="9" state="hidden" r:id="rId9"/>
    <sheet name="ดอกเบี้ย,กำไร" sheetId="10" state="hidden" r:id="rId10"/>
    <sheet name="ภาษี" sheetId="11" state="hidden" r:id="rId11"/>
    <sheet name="ปร.6" sheetId="12" r:id="rId12"/>
  </sheets>
  <externalReferences>
    <externalReference r:id="rId15"/>
  </externalReferences>
  <definedNames>
    <definedName name="_xlfn.BAHTTEXT" hidden="1">#NAME?</definedName>
    <definedName name="_xlnm.Print_Area" localSheetId="0">'แบ่งงวดงาน'!$A$1:$T$131</definedName>
    <definedName name="_xlnm.Print_Area" localSheetId="10">'ภาษี'!$A$1:$J$34</definedName>
    <definedName name="PRINT_AREA_MI" localSheetId="7">#REF!</definedName>
    <definedName name="PRINT_AREA_MI">#REF!</definedName>
    <definedName name="_xlnm.Print_Titles" localSheetId="2">'ปร.4'!$1:$6</definedName>
    <definedName name="_xlnm.Print_Titles" localSheetId="6">'หัวตาราง B.O.Q.'!$1:$6</definedName>
  </definedNames>
  <calcPr fullCalcOnLoad="1"/>
</workbook>
</file>

<file path=xl/sharedStrings.xml><?xml version="1.0" encoding="utf-8"?>
<sst xmlns="http://schemas.openxmlformats.org/spreadsheetml/2006/main" count="5014" uniqueCount="923">
  <si>
    <t xml:space="preserve">                                 80,000,001    -       100,000,000</t>
  </si>
  <si>
    <t xml:space="preserve">                               100,000,001    -       300,000,000</t>
  </si>
  <si>
    <t xml:space="preserve">                               300,000,001    -    1,000,000,000</t>
  </si>
  <si>
    <t>แผ่นที่  6/46</t>
  </si>
  <si>
    <t xml:space="preserve"> -164-</t>
  </si>
  <si>
    <t>ข้อ  1.2.2</t>
  </si>
  <si>
    <t>ค่าใช้จ่ายในการส่งตัวอย่างวัสดุทดสอบและหนังสือรับรอง</t>
  </si>
  <si>
    <t xml:space="preserve"> งาน 500,000 - 200,000,000 บาท</t>
  </si>
  <si>
    <t xml:space="preserve"> งาน  200,000,000  บาทขึ้นไป</t>
  </si>
  <si>
    <t xml:space="preserve"> - งานโครงสร้าง            คิด  37  %</t>
  </si>
  <si>
    <t xml:space="preserve"> - งานโครงสร้าง            คิด  34  %</t>
  </si>
  <si>
    <t xml:space="preserve"> - งานสถาปัตยกรรม      คิด  43  %</t>
  </si>
  <si>
    <t xml:space="preserve"> - งานสถาปัตยกรรม      คิด  36  %</t>
  </si>
  <si>
    <t xml:space="preserve"> - งานระบบไฟฟ้า          คิด    8  %</t>
  </si>
  <si>
    <t xml:space="preserve"> - งานระบบไฟฟ้า          คิด  10  %</t>
  </si>
  <si>
    <t xml:space="preserve"> - งานระบบสุขาภิบาล   คิด    7  %</t>
  </si>
  <si>
    <t xml:space="preserve"> - งานระบบสุขาภิบาล   คิด   10  %</t>
  </si>
  <si>
    <t xml:space="preserve"> - งานระบบอื่นๆ           คิด    5  %</t>
  </si>
  <si>
    <t xml:space="preserve"> - งานระบบอื่นๆ           คิด   10  %</t>
  </si>
  <si>
    <t xml:space="preserve">                                   2     งานโครงสร้าง  100 %  แบ่งเป็นงานเสาเข็ม  15 % งานโครงสร้างอื่นๆ  85 %</t>
  </si>
  <si>
    <t xml:space="preserve"> - งานโครงสร้างอื่นๆประกอบด้วย คอนกรีต  1  ลบ.ม. มีปริมาณเหล็กเสริมหนัก  180  กก. และปริมาณไม้แบบ  4  ตร.ม</t>
  </si>
  <si>
    <t xml:space="preserve"> - คอนกรีต  1  ลบ.ม.  ราคา  1,450  บาท</t>
  </si>
  <si>
    <t xml:space="preserve"> =      1,450    บาท          =         31   %</t>
  </si>
  <si>
    <t xml:space="preserve"> - เหล็กหนัก  180  กก.ๆละ  12  บาท</t>
  </si>
  <si>
    <t xml:space="preserve"> =      2,160    บาท          =         47   %</t>
  </si>
  <si>
    <t xml:space="preserve"> - ไม้แบบ  4  ตร.ม.ๆละ  250  บาท</t>
  </si>
  <si>
    <t xml:space="preserve"> =      1,000    บาท          =         22   %</t>
  </si>
  <si>
    <t xml:space="preserve">                                   3     ค่าของวัสดุคิด  70  %  ค่าแรงงานคิด  30  %</t>
  </si>
  <si>
    <t xml:space="preserve">                                   4     ทดสอบเหล็กทุก  100  เส้น  5  ตัวอย่าง  ทดสอบคอนกรีตทุก  50  ลบ.ม./  1  ชุดตัวอย่าง( 1 ชุด = 3  แท่งทดสอบ)</t>
  </si>
  <si>
    <t>การเทียบอัตราส่วนของงาน</t>
  </si>
  <si>
    <t xml:space="preserve">คอนกรีต                </t>
  </si>
  <si>
    <t>31%*0.85%*0.70%*0.37%                              =              6.83                 ของมูลค่าโครงการ</t>
  </si>
  <si>
    <t>เหล็ก</t>
  </si>
  <si>
    <t>47%*0.85%*0.70%*0.37%                              =            10.35                 ของมูลค่าโครงการ</t>
  </si>
  <si>
    <t>ไม้แบบ</t>
  </si>
  <si>
    <t>22%*0.85%*0.70%*0.37%                              =              4.84                 ของมูลค่าโครงการ</t>
  </si>
  <si>
    <t>คิดเหล็ก     11.82 %  มูลค่าโครงการ ( คิดเหล็ก  12  มม. ยาว 10.00 ม. เส้นละ 106 บาท)</t>
  </si>
  <si>
    <t>การคิดค่าทดสอบเหล็ก</t>
  </si>
  <si>
    <t xml:space="preserve">                            =</t>
  </si>
  <si>
    <t xml:space="preserve">     10.35{[ 100 x (จำนวน 5 ตัวอย่าง) x (ค่าทดสอบเหล็กเส้น)] / [ 100 x (100 เส้นต่อ 5 ตัวอย่าง) x (ราคาเหล็กเส้น)]}</t>
  </si>
  <si>
    <t>การคิดค่าทดสอบคอนกรีต</t>
  </si>
  <si>
    <t xml:space="preserve">     6.83 {[ 100 x (จำนวน 3 ตัวอย่าง) x (ค่าทดสอบคอนกรีต)] / [ 100 x (50 ลบ.ม.ต่อ 1 ชุดตัวอย่าง) x (ราคาคอนกรีต)]}</t>
  </si>
  <si>
    <t>แผ่นที่  7/46</t>
  </si>
  <si>
    <t>1.2.2.1</t>
  </si>
  <si>
    <t>ค่างาน 500,000  -  80,000,000  บาท</t>
  </si>
  <si>
    <t xml:space="preserve"> -165-</t>
  </si>
  <si>
    <t>-</t>
  </si>
  <si>
    <t xml:space="preserve">งานเหล็กเสริมคอนกรีต  </t>
  </si>
  <si>
    <t>คิดเหล็กทดสอบที่ขนาด  12  มม.ราคาวัสดุ  =</t>
  </si>
  <si>
    <t xml:space="preserve"> บาท / เส้น</t>
  </si>
  <si>
    <t>ค่าทดสอบและค่าวัสดุทดสอบ                      =</t>
  </si>
  <si>
    <t xml:space="preserve"> บาท / 1 ตัวอย่าง</t>
  </si>
  <si>
    <t>งานเหล็กเสริมของมูลค่าโครงการ               =</t>
  </si>
  <si>
    <t xml:space="preserve"> %</t>
  </si>
  <si>
    <t xml:space="preserve">                ค่าทดสอบเหล็กคิดเป็นร้อยละ     =</t>
  </si>
  <si>
    <t>คณะกรรมการจัดทำแบบรูปและรายการ</t>
  </si>
  <si>
    <t xml:space="preserve">แบบเลขที่ </t>
  </si>
  <si>
    <t>สรุปรายการก่อสร้างปรับปรุง</t>
  </si>
  <si>
    <t xml:space="preserve">    {(       100        x         5         x</t>
  </si>
  <si>
    <t xml:space="preserve"> )</t>
  </si>
  <si>
    <t xml:space="preserve"> /    (   100         x         100          x</t>
  </si>
  <si>
    <t xml:space="preserve">  )}</t>
  </si>
  <si>
    <t xml:space="preserve">                                                                     =</t>
  </si>
  <si>
    <t>งานคอนกรีตโครงสร้าง</t>
  </si>
  <si>
    <t>คิดค่าคอนกรีตทดสอบที่ราคา                       =</t>
  </si>
  <si>
    <t xml:space="preserve"> บาท / ลบ.ม.</t>
  </si>
  <si>
    <t>งานคอนกรีตของมูลค่าโครงการ                   =</t>
  </si>
  <si>
    <t xml:space="preserve">           ค่าทดสอบคอนกรีตคิดเป็นร้อยละ     =</t>
  </si>
  <si>
    <t xml:space="preserve">    {(       100        x         3         x</t>
  </si>
  <si>
    <t xml:space="preserve"> /    (   100         x          50          x</t>
  </si>
  <si>
    <t xml:space="preserve">                                                                      =</t>
  </si>
  <si>
    <t xml:space="preserve">                 รวมค่าทดสอบวัสดุ                   =</t>
  </si>
  <si>
    <t>1.2.2.2</t>
  </si>
  <si>
    <t>ค่างาน 80,000,001  -  200,000,000  บาท</t>
  </si>
  <si>
    <t>คิดเหล็กทดสอบที่ขนาด  16  มม.ราคาวัสดุ  =</t>
  </si>
  <si>
    <t>งานคอนกรีตของมูลค่าโครงการ                  =</t>
  </si>
  <si>
    <t>แผ่นที่  8/46</t>
  </si>
  <si>
    <t xml:space="preserve"> -166-</t>
  </si>
  <si>
    <t>1.2.2.3</t>
  </si>
  <si>
    <t>ค่างาน 200,000,001  -  1,000,000,000  บาท</t>
  </si>
  <si>
    <t>คิดเหล็กทดสอบที่ขนาด  25  มม.ราคาวัสดุ  =</t>
  </si>
  <si>
    <t>ข้อ 1.2.2  ค่าใช้จ่ายในการส่งตัวอย่างวัสดุทดสอบและหนังสือรับรอง</t>
  </si>
  <si>
    <t xml:space="preserve">                ค่างาน        500,000  -       80,000,000  บาท</t>
  </si>
  <si>
    <t xml:space="preserve">                ค่างาน   80,000,001  -     200,000,000  บาท</t>
  </si>
  <si>
    <t xml:space="preserve">                ค่างาน 200,000,001  -  1,000,000,000  บาท</t>
  </si>
  <si>
    <t>ข้อ  1.2.3</t>
  </si>
  <si>
    <t>ค่าใช้จ่ายในการจัดเตรียมเอกสารต่างๆ  ระหว่างทำการก่อสร้าง</t>
  </si>
  <si>
    <t xml:space="preserve"> -  คิดให้โดยเฉลี่ย ( ข้อมูลเชิงสถิติ )</t>
  </si>
  <si>
    <t>แผ่นที่  9/46</t>
  </si>
  <si>
    <t>ข้อ  1.2.4</t>
  </si>
  <si>
    <t>ค่ารักษาความสะอาดและขนเศษวัสดุในการก่อสร้าง</t>
  </si>
  <si>
    <t xml:space="preserve"> -167-</t>
  </si>
  <si>
    <t xml:space="preserve">       1.2.4.1</t>
  </si>
  <si>
    <t xml:space="preserve"> ค่ารถและค่าขนครั้งละ         </t>
  </si>
  <si>
    <t xml:space="preserve"> จำนวนเที่ยวครั้ง</t>
  </si>
  <si>
    <t xml:space="preserve">        ครั้ง / เดือน</t>
  </si>
  <si>
    <t xml:space="preserve">                 รวมเป็นเงิน</t>
  </si>
  <si>
    <t xml:space="preserve">       1.2.4.2</t>
  </si>
  <si>
    <t xml:space="preserve">       1.2.4.3</t>
  </si>
  <si>
    <t>แผ่นที่  10/46</t>
  </si>
  <si>
    <t xml:space="preserve"> -168-</t>
  </si>
  <si>
    <t xml:space="preserve">       1.2.4.4</t>
  </si>
  <si>
    <t xml:space="preserve">       1.2.4.5</t>
  </si>
  <si>
    <t xml:space="preserve">          เงื่อนไขค่างานตั้งแต่  250,000,001 - 500,000,000  บาท</t>
  </si>
  <si>
    <t>แผ่นที่  11/46</t>
  </si>
  <si>
    <t xml:space="preserve"> -169-</t>
  </si>
  <si>
    <t xml:space="preserve">       1.2.4.6</t>
  </si>
  <si>
    <t>ข้อ 1.2.4  ค่าใช้จ่ายในการรักษาความสะอาดและขนเศษวัสดุในการก่อสร้าง</t>
  </si>
  <si>
    <t xml:space="preserve">                ค่างาน         500,000  -       10,000,000  บาท</t>
  </si>
  <si>
    <t xml:space="preserve">                ค่างาน    10,000,001  -       25,000,000  บาท</t>
  </si>
  <si>
    <t xml:space="preserve">                ค่างาน    25,000,001  -     100,000,000  บาท</t>
  </si>
  <si>
    <t xml:space="preserve">                ค่างาน  100,000,001  -     250,000,000  บาท</t>
  </si>
  <si>
    <t xml:space="preserve">                ค่างาน  250,000,001  -     500,000,000  บาท</t>
  </si>
  <si>
    <t xml:space="preserve">                ค่างาน  500,000,001  -  1,000,000,000  บาท</t>
  </si>
  <si>
    <t>แผ่นที่  12/46</t>
  </si>
  <si>
    <t>ข้อ  1.2.5</t>
  </si>
  <si>
    <t>ค่าก่อสร้างที่พักคนงาน,สำนักงาน,โรงงานและโรงเก็บวัสดุ ชั่วคราว</t>
  </si>
  <si>
    <t xml:space="preserve"> -170-</t>
  </si>
  <si>
    <t xml:space="preserve">       1.2.5.1</t>
  </si>
  <si>
    <t xml:space="preserve"> ที่พักและห้องน้ำห้องส้วมคนงาน</t>
  </si>
  <si>
    <t xml:space="preserve">                      -  ค่าแรงงาน                   =</t>
  </si>
  <si>
    <t>บาท/ต่อวัน</t>
  </si>
  <si>
    <t xml:space="preserve">                      -  อัตราคนพัก                 =</t>
  </si>
  <si>
    <t>คนต่อ 1 ห้องพัก</t>
  </si>
  <si>
    <t xml:space="preserve">        ค่าใช้จ่ายค่าแรงงาน</t>
  </si>
  <si>
    <t xml:space="preserve">       =</t>
  </si>
  <si>
    <t>ของค่างาน</t>
  </si>
  <si>
    <t xml:space="preserve">        จำนวนแรงงาน</t>
  </si>
  <si>
    <t xml:space="preserve">  0.30 / 180</t>
  </si>
  <si>
    <t xml:space="preserve">  ใน  1  เดือนมี  30  วัน  ปริมาณคนทำงานใน  1  วัน</t>
  </si>
  <si>
    <t xml:space="preserve"> อัตราคนพัก 1.5 คนต่อ 1 ห้องพัก ดังนั้นปริมาณห้องพัก</t>
  </si>
  <si>
    <t xml:space="preserve"> ค่าปลูกสร้างห้องพักคิดราคาห้องละ  =</t>
  </si>
  <si>
    <t>บาท / ห้อง</t>
  </si>
  <si>
    <t xml:space="preserve"> คิดค่าเสื่อมราคา  50  %                       =</t>
  </si>
  <si>
    <t xml:space="preserve"> ค่าใช้จ่ายในการก่อสร้างที่พักคนงานเฉลี่ย 1 เดือน</t>
  </si>
  <si>
    <t xml:space="preserve"> ห้องน้ำห้องส้วมคนงาน</t>
  </si>
  <si>
    <t xml:space="preserve"> หลักการคิด  -  คิดประมาณห้องน้ำ-ส้วม  1  ห้องต่อห้องพักคนงาน  10  ห้อง</t>
  </si>
  <si>
    <t xml:space="preserve"> ค่าปลูกสร้างห้องน้ำ-ส้วมคิดราคาห้องละ  =</t>
  </si>
  <si>
    <t xml:space="preserve"> ดังนั้นค่าใช้จ่ายในการก่อสร้างห้องน้ำ-ส้วม เฉลี่ย 1 เดือน</t>
  </si>
  <si>
    <t>รวมค่าก่อสร้างที่พักคนงานและห้องน้ำ-ส้วม เฉลี่ย 1 เดือน</t>
  </si>
  <si>
    <t xml:space="preserve"> +</t>
  </si>
  <si>
    <t xml:space="preserve">                                  คิดเป็นร้อยละของค่างานทั้งโครงการ</t>
  </si>
  <si>
    <t xml:space="preserve">    ใช้งานประมาณ  70  % ของระยะเวลาก่อสร้างโครงการ</t>
  </si>
  <si>
    <t>*</t>
  </si>
  <si>
    <t>เพราะฉนั้นค่าก่อสร้างที่พักคนงานและห้องน้ำห้องส้วมเฉลี่ยต่อโครงการ</t>
  </si>
  <si>
    <t>แผ่นที่  13/46</t>
  </si>
  <si>
    <t xml:space="preserve"> -171-</t>
  </si>
  <si>
    <t xml:space="preserve">       1.2.5.2</t>
  </si>
  <si>
    <t xml:space="preserve"> สำนักงาน,โรงงาน,โรงเก็บวัสดุชั่วคราว</t>
  </si>
  <si>
    <t xml:space="preserve">       1.2.5.2.1</t>
  </si>
  <si>
    <t xml:space="preserve"> ค่างาน ไม่เกิน - 10,000,000 บาท    สำนักงานขนาดพนักงาน   3   คน </t>
  </si>
  <si>
    <t xml:space="preserve"> - พื้นที่ใช้สอยสำนักงาน( 1 คน / 8 ตร.ม.)   =</t>
  </si>
  <si>
    <t>ตร.ม.</t>
  </si>
  <si>
    <t xml:space="preserve"> - ราคาค่าก่อสร้างเฉลี่ย / ตารางเมตร           =</t>
  </si>
  <si>
    <t>บาท(หักค่าเสื่อมแล้ว)</t>
  </si>
  <si>
    <t xml:space="preserve">                  รวมค่าก่อสร้างสำนักงาน           =</t>
  </si>
  <si>
    <t>บาท</t>
  </si>
  <si>
    <t>แผ่นที่  14/46</t>
  </si>
  <si>
    <t xml:space="preserve"> - พื้นที่เก็บของ( สโตร์ )                              =</t>
  </si>
  <si>
    <t xml:space="preserve"> -172-</t>
  </si>
  <si>
    <t>บาท (หักค่าเสื่อมแล้ว)</t>
  </si>
  <si>
    <t xml:space="preserve">                  รวมค่าก่อสร้างที่เก็บของ           =</t>
  </si>
  <si>
    <t xml:space="preserve"> - พื้นที่ห้องน้ำห้องส้วม                              =</t>
  </si>
  <si>
    <t>ห้อง</t>
  </si>
  <si>
    <t xml:space="preserve"> - ราคาค่าก่อสร้างเฉลี่ย / ห้อง                      =</t>
  </si>
  <si>
    <t xml:space="preserve">                  รวมค่าก่อสร้างห้องน้ำ-ส้วม       =</t>
  </si>
  <si>
    <t xml:space="preserve">  รวมค่าก่อสร้างสำนักงาน,สโตร์,ห้องน้ำฯ  =</t>
  </si>
  <si>
    <t xml:space="preserve">       1.2.5.2.2</t>
  </si>
  <si>
    <t xml:space="preserve"> ค่างาน 10,000,001 - 25,000,000 บาท    สำนักงานขนาดพนักงาน   3   คน </t>
  </si>
  <si>
    <t>แผ่นที่  15/46</t>
  </si>
  <si>
    <t xml:space="preserve"> -173-</t>
  </si>
  <si>
    <t xml:space="preserve">       1.2.5.2.3</t>
  </si>
  <si>
    <t xml:space="preserve"> ค่างาน 25,000,001 - 50,000,000 บาท    สำนักงานขนาดพนักงาน   4   คน </t>
  </si>
  <si>
    <t xml:space="preserve"> - พื้นที่โรงงานเตรียมเหล็ก                        =</t>
  </si>
  <si>
    <t>ส่วนราชการ มหาวิทยาลัยเทคโนโลยีราชมงคลกรุงเทพ</t>
  </si>
  <si>
    <t xml:space="preserve">                  รวมค่าก่อสร้างโรงงาน              =</t>
  </si>
  <si>
    <t xml:space="preserve"> - พื้นที่โรงเก็บซีเมนต์ถุง                            =</t>
  </si>
  <si>
    <t xml:space="preserve">                รวมค่าก่อสร้างที่โรงเก็บซีเมนต์  =</t>
  </si>
  <si>
    <t>แผ่นที่  16/46</t>
  </si>
  <si>
    <t xml:space="preserve"> -174-</t>
  </si>
  <si>
    <t xml:space="preserve">       1.2.5.2.4</t>
  </si>
  <si>
    <t xml:space="preserve"> ค่างาน 50,000,001 - 100,000,000 บาท    สำนักงานขนาดพนักงาน   4   คน </t>
  </si>
  <si>
    <t>แผ่นที่  17/46</t>
  </si>
  <si>
    <t xml:space="preserve"> -175-</t>
  </si>
  <si>
    <t xml:space="preserve">       1.2.5.2.5</t>
  </si>
  <si>
    <t xml:space="preserve"> ค่างาน 100,000,001 - 300,000,000 บาท    สำนักงานขนาดพนักงาน   6   คน </t>
  </si>
  <si>
    <t>แผ่นที่  18/46</t>
  </si>
  <si>
    <t xml:space="preserve"> -176-</t>
  </si>
  <si>
    <t xml:space="preserve">       1.2.5.2.6</t>
  </si>
  <si>
    <t xml:space="preserve"> ค่างาน 300,000,001 - 500,000,000 บาท    สำนักงานขนาดพนักงาน   10   คน </t>
  </si>
  <si>
    <t>แผ่นที่  19/46</t>
  </si>
  <si>
    <t xml:space="preserve"> -177-</t>
  </si>
  <si>
    <t xml:space="preserve">       1.2.5.2.7</t>
  </si>
  <si>
    <t xml:space="preserve"> ค่างาน ตั้งแต่ - 500,000,001 บาทขึ้นไป    สำนักงานขนาดพนักงาน   15   คน </t>
  </si>
  <si>
    <t>แผ่นที่  20/46</t>
  </si>
  <si>
    <t xml:space="preserve"> -178-</t>
  </si>
  <si>
    <t>เพราะฉนั้นค่าก่อสร้างสำนักงาน,โรงงาน,โรงเก็บวัสดุชั่วคราวเฉลี่ยต่อโครงการ</t>
  </si>
  <si>
    <t xml:space="preserve">                ค่างาน          500,000  -      10,000,000  บาท</t>
  </si>
  <si>
    <t xml:space="preserve">                ค่างาน     10,000,001  -      25,000,000  บาท</t>
  </si>
  <si>
    <t xml:space="preserve">                ค่างาน     25,000,001  -      50,000,000  บาท</t>
  </si>
  <si>
    <t>มหาวิทยาลัยเทคโนโลยีราชมงคลกรุงเทพ  (เทคนิคกรุงเทพฯ)</t>
  </si>
  <si>
    <t xml:space="preserve">                ค่างาน     50,000,001  -     100,000,000  บาท</t>
  </si>
  <si>
    <t xml:space="preserve">                ค่างาน   100,000,001  -     300,000,000  บาท</t>
  </si>
  <si>
    <t xml:space="preserve">                ค่างาน   300,000,001  -     500,000,000  บาท</t>
  </si>
  <si>
    <t xml:space="preserve">                ค่างาน   500,000,001  -  1,000,000,000  บาท</t>
  </si>
  <si>
    <t>ข้อ 1.2.5  ค่าก่อสร้างที่พักคนงาน,สำนักงาน,โรงงานและโรงเก็บวัสดุ ชั่วคราว</t>
  </si>
  <si>
    <t>สำนักงาน,โรงงาน,โรงเก็บวัสดุ</t>
  </si>
  <si>
    <t>ที่พักคนงาน</t>
  </si>
  <si>
    <t>แผ่นที่  21/46</t>
  </si>
  <si>
    <t xml:space="preserve"> -179-</t>
  </si>
  <si>
    <t>ข้อ  1.2.6</t>
  </si>
  <si>
    <t>ค่าสาธารณูปโภค,น้ำ,ไฟชั่วคราว</t>
  </si>
  <si>
    <t xml:space="preserve">       1.2.6.1</t>
  </si>
  <si>
    <t xml:space="preserve"> - ค่าน้ำ (การใช้น้ำ  120 ลิตร / คน / วัน)</t>
  </si>
  <si>
    <t xml:space="preserve">   การใช้น้ำต่อ 1 คน       =    120 / 1,000     =</t>
  </si>
  <si>
    <t>ลบ.ม. / วัน</t>
  </si>
  <si>
    <t xml:space="preserve">   จำนวนแรงงานคิดเป็นร้อยละ                 =</t>
  </si>
  <si>
    <t>(  = 0.30/180 = 0.001667 = 0.0017)</t>
  </si>
  <si>
    <t xml:space="preserve">   อัตราค่าน้ำ                                                =</t>
  </si>
  <si>
    <t>บาท / ลบ.ม.</t>
  </si>
  <si>
    <t xml:space="preserve">   เพราะฉนั้นอัตราการใช้น้ำตลอดโครงการ ร้อยละ</t>
  </si>
  <si>
    <t xml:space="preserve">             ลบ.ม./โครงการ</t>
  </si>
  <si>
    <t xml:space="preserve">   คิดเป็นเงินร้อยละของค่างาน</t>
  </si>
  <si>
    <t xml:space="preserve">   การใช้ไฟต่อ 1 คน              =     3 / 1.5      =</t>
  </si>
  <si>
    <t>หน่วย / วัน</t>
  </si>
  <si>
    <t xml:space="preserve">   จำนวนแรงงานคิดเป็นร้อยละ                   =</t>
  </si>
  <si>
    <t xml:space="preserve">   อัตราค่าไฟ                                                 =</t>
  </si>
  <si>
    <t>บาท / หน่วย</t>
  </si>
  <si>
    <t>แผ่นที่  22/46</t>
  </si>
  <si>
    <t xml:space="preserve">   ฉนั้นอัตราการใช้ไฟตลอดโครงการ ร้อยละ</t>
  </si>
  <si>
    <t xml:space="preserve">            หน่วย/โครงการ</t>
  </si>
  <si>
    <t xml:space="preserve"> -180-</t>
  </si>
  <si>
    <t xml:space="preserve">   คิดประมาณ 70% ของระยะเวลาก่อสร้างรวมทั้งโครงการ</t>
  </si>
  <si>
    <t>+</t>
  </si>
  <si>
    <t xml:space="preserve">       70      /      100</t>
  </si>
  <si>
    <t xml:space="preserve">  เพราะฉนั้นค่าใช้จ่ายค่าน้ำ-ไฟของที่พักคนงานและห้องน้ำห้องส้วมเฉลี่ยต่อโครงการ</t>
  </si>
  <si>
    <t>โครงการ</t>
  </si>
  <si>
    <t>แผ่นที่  23/46</t>
  </si>
  <si>
    <t xml:space="preserve"> -181-</t>
  </si>
  <si>
    <t xml:space="preserve">       1.2.6.2</t>
  </si>
  <si>
    <t xml:space="preserve"> สำนักงาน,โรงงาน,โรงเก็บวัสดุชั่วคราว (น้ำ-ไฟ)</t>
  </si>
  <si>
    <t xml:space="preserve">       1.2.6.2.1</t>
  </si>
  <si>
    <t xml:space="preserve">   อัตราค่าน้ำ                                              =</t>
  </si>
  <si>
    <t xml:space="preserve">   การใช้น้ำต่อ 3 คน   =  120 / 1,000 x 3  =</t>
  </si>
  <si>
    <t xml:space="preserve">   จำนวน 30 วัน( 1 เดือน )ใช้น้ำ              =</t>
  </si>
  <si>
    <t>ลบ.ม. / เดือน</t>
  </si>
  <si>
    <t xml:space="preserve">   รวมเป็นเงินค่าน้ำ                                  =</t>
  </si>
  <si>
    <t>บาท / เดือน</t>
  </si>
  <si>
    <t xml:space="preserve">  x  100</t>
  </si>
  <si>
    <t xml:space="preserve">       1.2.6.2.2</t>
  </si>
  <si>
    <t xml:space="preserve">   จำนวน 30 วัน ( 1 เดือน ) ใช้น้ำ            =</t>
  </si>
  <si>
    <t>แผ่นที่  24/46</t>
  </si>
  <si>
    <t xml:space="preserve"> -182-</t>
  </si>
  <si>
    <t xml:space="preserve">       1.2.6.2.3</t>
  </si>
  <si>
    <t xml:space="preserve">   การใช้น้ำต่อ 4  คน    =  120 / 1,000 x 4   =</t>
  </si>
  <si>
    <t xml:space="preserve">   จำนวน 30 วัน ( 1 เดือน ) ใช้น้ำ              =</t>
  </si>
  <si>
    <t xml:space="preserve">   รวมเป็นเงินค่าน้ำ                                    =</t>
  </si>
  <si>
    <t xml:space="preserve">       1.2.6.2.4</t>
  </si>
  <si>
    <t xml:space="preserve">   การใช้น้ำต่อ 4  คน    =  120 / 1,000 x 4  =</t>
  </si>
  <si>
    <t>แผ่นที่  25/46</t>
  </si>
  <si>
    <t xml:space="preserve"> -183-</t>
  </si>
  <si>
    <t xml:space="preserve">       1.2.6.2.5</t>
  </si>
  <si>
    <t xml:space="preserve">   การใช้น้ำต่อ 6  คน    =  120 / 1,000 x 6  =</t>
  </si>
  <si>
    <t>แผ่นที่  26/46</t>
  </si>
  <si>
    <t xml:space="preserve"> -184-</t>
  </si>
  <si>
    <t xml:space="preserve">       1.2.6.2.6</t>
  </si>
  <si>
    <t xml:space="preserve">   การใช้น้ำต่อ 10  คน  =  120/1,000 x 10  =</t>
  </si>
  <si>
    <t xml:space="preserve">       1.2.6.2.7</t>
  </si>
  <si>
    <t xml:space="preserve"> ค่างาน ตั้งแต่  500,000,001 บาทขึ้นไป    สำนักงานขนาดพนักงาน   15   คน </t>
  </si>
  <si>
    <t xml:space="preserve">   การใช้น้ำต่อ 15 คน  = 120/1,000 x 15    =</t>
  </si>
  <si>
    <t xml:space="preserve">   จำนวน 30 วัน ( 1 เดือน )ใ ช้น้ำ              =</t>
  </si>
  <si>
    <t>แผ่นที่  27/46</t>
  </si>
  <si>
    <t xml:space="preserve">       1.2.6.2.8</t>
  </si>
  <si>
    <t xml:space="preserve"> ค่างาน ไม่เกิน  25,000,000 บาท    สำนักงานขนาดพนักงาน   3   คน </t>
  </si>
  <si>
    <t xml:space="preserve"> -185-</t>
  </si>
  <si>
    <t xml:space="preserve">   ค่าไฟฟ้าคิด  1  ยูนิตละ                           =</t>
  </si>
  <si>
    <t>บาท/ยูนิต</t>
  </si>
  <si>
    <t xml:space="preserve">   พื้นที่สำนักงาน           =      8.00 x 3       =</t>
  </si>
  <si>
    <t xml:space="preserve">   ใช้ไฟฟ้าและแสงสว่าง (20 VA / ตร.ม.) =</t>
  </si>
  <si>
    <t>VA</t>
  </si>
  <si>
    <t xml:space="preserve">   ใช้ไฟระบบปรับอากาศ (70 VA / ตร.ม.) =</t>
  </si>
  <si>
    <t>รวมใช้ไฟฟ้า</t>
  </si>
  <si>
    <t xml:space="preserve">   1 วันทำงาน 12 ชั่วโมง ใช้ไฟฟ้า  (ทำเป็นยูนิต)             </t>
  </si>
  <si>
    <t>ยูนิต</t>
  </si>
  <si>
    <t xml:space="preserve">   1 เดือนเสียค่าใช้ไฟฟ้า  ( 30 วัน)                            </t>
  </si>
  <si>
    <t xml:space="preserve">       1.2.6.2.9</t>
  </si>
  <si>
    <t xml:space="preserve">   พื้นที่สำนักงาน           =     8.00 x 4        =</t>
  </si>
  <si>
    <t>แผ่นที่  28/46</t>
  </si>
  <si>
    <t xml:space="preserve"> -186-</t>
  </si>
  <si>
    <t>1.2.6.2.10</t>
  </si>
  <si>
    <t>แผ่นที่  29/46</t>
  </si>
  <si>
    <t xml:space="preserve"> -187-</t>
  </si>
  <si>
    <t>1.2.6.2.11</t>
  </si>
  <si>
    <t xml:space="preserve">   พื้นที่สำนักงาน           =     8.00 x 6        =</t>
  </si>
  <si>
    <t>1.2.6.2.12</t>
  </si>
  <si>
    <t xml:space="preserve">   พื้นที่สำนักงาน           =     8.00 x 10      =</t>
  </si>
  <si>
    <t>แผ่นที่  30/46</t>
  </si>
  <si>
    <t xml:space="preserve"> -188-</t>
  </si>
  <si>
    <t>1.2.6.2.13</t>
  </si>
  <si>
    <t xml:space="preserve">   ค่าไฟฟ้าคิด  1  ยูนิตละ                          =</t>
  </si>
  <si>
    <t xml:space="preserve">   พื้นที่สำนักงาน            =    8.00 x 15     =</t>
  </si>
  <si>
    <t xml:space="preserve">   เพราะฉนั้นค่าใช้จ่ายค่าน้ำ-ไฟของสำนักงานเฉลี่ยต่อโครงการ</t>
  </si>
  <si>
    <t>แผ่นที่  31/46</t>
  </si>
  <si>
    <t xml:space="preserve"> -189-</t>
  </si>
  <si>
    <t>แผ่นที่  32/46</t>
  </si>
  <si>
    <t xml:space="preserve">       1.2.6.3</t>
  </si>
  <si>
    <t>(นายเกียรติศักดิ์    สุขทรรศนีย์)</t>
  </si>
  <si>
    <t>รักษาราชการแทนหัวหน้าฝ่ายประมาณราคา  สำนักสถาปัตยกรรม</t>
  </si>
  <si>
    <t>วันที่  26  เมษายน  2550</t>
  </si>
  <si>
    <t>รวมค่าวัสดุและค่าแรงงาน (เงินทุน)</t>
  </si>
  <si>
    <t xml:space="preserve"> น้ำ - ไฟ สำหรับใช้ในการทำงาน (หน่วยงาน)</t>
  </si>
  <si>
    <t xml:space="preserve"> -190-</t>
  </si>
  <si>
    <t>1.2.6.3.1</t>
  </si>
  <si>
    <t xml:space="preserve"> ค่างาน ไม่เกิน - 10,000,000 บาท    </t>
  </si>
  <si>
    <t xml:space="preserve"> คิดเฉลี่ยเดือนละ      =</t>
  </si>
  <si>
    <t>บาท/เดือน</t>
  </si>
  <si>
    <t>1.2.6.3.2</t>
  </si>
  <si>
    <t xml:space="preserve"> ค่างาน 10,000,001 - 25,000,000 บาท</t>
  </si>
  <si>
    <t xml:space="preserve"> คิดเฉลี่ยเดือนละ        =</t>
  </si>
  <si>
    <t>1.2.6.3.3</t>
  </si>
  <si>
    <t xml:space="preserve"> ค่างาน 25,000,001 - 50,000,000 บาท</t>
  </si>
  <si>
    <t xml:space="preserve"> คิดเฉลี่ยเดือนละ          =</t>
  </si>
  <si>
    <t>แผ่นที่  33/46</t>
  </si>
  <si>
    <t xml:space="preserve"> -191-</t>
  </si>
  <si>
    <t>1.2.6.3.4</t>
  </si>
  <si>
    <t xml:space="preserve"> ค่างาน 50,000,001 - 100,000,000 บาท </t>
  </si>
  <si>
    <t>1.2.6.3.5</t>
  </si>
  <si>
    <t xml:space="preserve"> ค่างาน 100,000,001 - 300,000,000 บาท </t>
  </si>
  <si>
    <t>1.2.6.3.6</t>
  </si>
  <si>
    <t xml:space="preserve"> ค่างาน 300,000,001 - 500,000,000 บาท </t>
  </si>
  <si>
    <t>แผ่นที่  34/46</t>
  </si>
  <si>
    <t>1.2.6.3.7</t>
  </si>
  <si>
    <t xml:space="preserve"> ค่างาน ตั้งแต่  500,000,001 บาทขึ้นไป </t>
  </si>
  <si>
    <t xml:space="preserve"> -192-</t>
  </si>
  <si>
    <t>เพราะฉนั้นค่าน้ำ - ไฟสำหรับใช้ในการทำงาน(หน่วยงาน)เฉลี่ยต่อโครงการ</t>
  </si>
  <si>
    <t>ข้อ 1.2.6  ค่าใช้จ่ายสารธารณูปโภค ,น้ำ,ไฟ ชั่วคราว</t>
  </si>
  <si>
    <t>แผ่นที่  35/46</t>
  </si>
  <si>
    <t xml:space="preserve"> -193-</t>
  </si>
  <si>
    <t>ข้อ  1.2.7</t>
  </si>
  <si>
    <t>ค่าอุปกรณ์ความปลอดภัย,หมวก,รองเท้าบูช,ถุงมือและดับเพลิง</t>
  </si>
  <si>
    <t xml:space="preserve">       1.2.7.1</t>
  </si>
  <si>
    <t xml:space="preserve"> ค่าอุปกรณ์ความปลอดภัย,หมวก,รองเท้า,ถุงมือ</t>
  </si>
  <si>
    <t xml:space="preserve"> หลักการ - ค่าใช้จ่าย 1 คน / 6 เดือน</t>
  </si>
  <si>
    <t xml:space="preserve">      หมวก  1  ใบ         =</t>
  </si>
  <si>
    <t>บาท / 6 เดือน</t>
  </si>
  <si>
    <t xml:space="preserve">      รองเท้า 1  คู่          =</t>
  </si>
  <si>
    <t xml:space="preserve">      ถุงมือ    6  คู่          =</t>
  </si>
  <si>
    <t xml:space="preserve">      รวมค่าใช้จ่าย        =</t>
  </si>
  <si>
    <t xml:space="preserve">      1 เดือนค่าใช้จ่าย   =</t>
  </si>
  <si>
    <t xml:space="preserve">       /          6</t>
  </si>
  <si>
    <t>แผ่นที่  36/46</t>
  </si>
  <si>
    <t xml:space="preserve">       1.2.7.2</t>
  </si>
  <si>
    <t xml:space="preserve"> ค่าแรงงานคิด  30 % ของโครงการ</t>
  </si>
  <si>
    <t xml:space="preserve"> -194-</t>
  </si>
  <si>
    <t xml:space="preserve">      ค่าแรงงาน                                    =</t>
  </si>
  <si>
    <t>ต่อวัน</t>
  </si>
  <si>
    <t xml:space="preserve">      ค่าใช้จ่ายค่าแรงงานร้อยละ          =</t>
  </si>
  <si>
    <t xml:space="preserve">      จำนวนแรงงาน</t>
  </si>
  <si>
    <t xml:space="preserve">     =</t>
  </si>
  <si>
    <t xml:space="preserve">    0.30 / 180</t>
  </si>
  <si>
    <t xml:space="preserve">      ค่าใช้จ่ายคิดเป็นร้อยละ</t>
  </si>
  <si>
    <t>% ต่อโครงการ</t>
  </si>
  <si>
    <t xml:space="preserve">     ใช้งานประมาณ  70  % ของระยะเวลาก่อสร้างโครงการ</t>
  </si>
  <si>
    <t xml:space="preserve">       70   /  100</t>
  </si>
  <si>
    <t xml:space="preserve">       1.2.7.3</t>
  </si>
  <si>
    <t xml:space="preserve"> ค่าอุปกรณ์ดับเพลิง</t>
  </si>
  <si>
    <t xml:space="preserve">      คิดเฉลี่ยเป็นร้อยละ                      =</t>
  </si>
  <si>
    <t>ข้อ 1.2.7  ค่าใช้จ่ายอุปกรณ์ความปลอดภัย,หมวก,รองเท้าบูช,ถุงมือและดับเพลิง</t>
  </si>
  <si>
    <t>แผ่นที่  37/46</t>
  </si>
  <si>
    <t xml:space="preserve"> -195-</t>
  </si>
  <si>
    <t>ข้อ  1.2.8</t>
  </si>
  <si>
    <t>ค่าทำป้ายบอกชื่องานและป้ายสัญญาณเตือนภัยต่างๆ</t>
  </si>
  <si>
    <t xml:space="preserve">       1.2.8.1</t>
  </si>
  <si>
    <t xml:space="preserve"> ค่างาน ไม่เกิน - 5,000,000 บาท    </t>
  </si>
  <si>
    <t xml:space="preserve"> คิดค่าทำป้าย                =</t>
  </si>
  <si>
    <t>บาท / โครงการ</t>
  </si>
  <si>
    <t xml:space="preserve">       1.2.8.2</t>
  </si>
  <si>
    <t xml:space="preserve"> ค่างาน 5,000,001 - 10,000,000 บาท    </t>
  </si>
  <si>
    <t xml:space="preserve"> คิดค่าทำป้าย              =</t>
  </si>
  <si>
    <t>แผ่นที่  38/46</t>
  </si>
  <si>
    <t xml:space="preserve">       1.2.8.3</t>
  </si>
  <si>
    <t xml:space="preserve"> ค่างาน 10,000,001 - 20,000,000 บาท</t>
  </si>
  <si>
    <t xml:space="preserve"> -196-</t>
  </si>
  <si>
    <t xml:space="preserve">       1.2.8.4</t>
  </si>
  <si>
    <t xml:space="preserve"> ค่างาน 20,000,001 - 50,000,000 บาท</t>
  </si>
  <si>
    <t xml:space="preserve">       1.2.8.5</t>
  </si>
  <si>
    <t>แผ่นที่  39/46</t>
  </si>
  <si>
    <t xml:space="preserve"> -197-</t>
  </si>
  <si>
    <t xml:space="preserve">       1.2.8.6</t>
  </si>
  <si>
    <t xml:space="preserve">       1.2.8.7</t>
  </si>
  <si>
    <t xml:space="preserve">       1.2.8.8</t>
  </si>
  <si>
    <t>แผ่นที่  40/46</t>
  </si>
  <si>
    <t xml:space="preserve"> -198-</t>
  </si>
  <si>
    <t>ข้อ 1.2.8  ค่าทำป้ายบอกชื่องานและป้ายสัญญาณเตือนภัยต่างๆ</t>
  </si>
  <si>
    <t>ข้อ  1.3</t>
  </si>
  <si>
    <t>หมวดค่าใช้จ่ายบริหารโครงการและบุคคลากรในการดำเนินงานก่อสร้าง</t>
  </si>
  <si>
    <t>ค่าใช้จ่ายในการบริหารโครงการและบุคคลากรในการดำเนินงานก่อสร้างจนเสร็จงาน</t>
  </si>
  <si>
    <t xml:space="preserve">       1.3.1.1</t>
  </si>
  <si>
    <t>ค่างานไม่เกิน - 10,000,000 บาท</t>
  </si>
  <si>
    <t>บุคคลากรจำนวน 3 คน</t>
  </si>
  <si>
    <t xml:space="preserve">  - วิศวกร 1 คน           =</t>
  </si>
  <si>
    <t xml:space="preserve">  - โฟร์แมน 1 คน       =</t>
  </si>
  <si>
    <t xml:space="preserve">  - เสมียน 1 คน          =</t>
  </si>
  <si>
    <t xml:space="preserve">    รวมเป็นเงิน            =</t>
  </si>
  <si>
    <t>ค่างาน500,000 - 1,000,000 บาทคิดให้เฉพาะโฟร์แมน 1 คนเท่านั้น</t>
  </si>
  <si>
    <t>แผ่นที่  41/46</t>
  </si>
  <si>
    <t xml:space="preserve"> -199-</t>
  </si>
  <si>
    <t xml:space="preserve">           คิดให้ 50 % (เนื่องจากบุคคลากรบางคนไม่ต้องอยู่ประจำตลอดงาน)</t>
  </si>
  <si>
    <t xml:space="preserve">       1.3.1.2</t>
  </si>
  <si>
    <t>ค่างาน 10,000,001 - 25,000,000 บาท</t>
  </si>
  <si>
    <t>บุคคลากรจำนวน 4  คน</t>
  </si>
  <si>
    <t xml:space="preserve">  - หัวหน้าช่าง 1 คน   =</t>
  </si>
  <si>
    <t xml:space="preserve">    รวมเป็นเงิน           =</t>
  </si>
  <si>
    <t xml:space="preserve">       1.3.1.3</t>
  </si>
  <si>
    <t>ค่างาน 25,000,001 - 50,000,000 บาท</t>
  </si>
  <si>
    <t>บุคคลากรจำนวน 5  คน</t>
  </si>
  <si>
    <t xml:space="preserve">  - ผู้จัดการ 1 คน         =</t>
  </si>
  <si>
    <t>แผ่นที่  42/46</t>
  </si>
  <si>
    <t xml:space="preserve"> -200-</t>
  </si>
  <si>
    <t xml:space="preserve">       1.3.1.4</t>
  </si>
  <si>
    <t>ค่างาน 50,000,001 - 100,000,000 บาท</t>
  </si>
  <si>
    <t>บุคคลากรจำนวน  7  คน</t>
  </si>
  <si>
    <t xml:space="preserve">  - โฟร์แมน 2 คน       =</t>
  </si>
  <si>
    <t xml:space="preserve">  - คุมเครื่องจักร 1 คน =</t>
  </si>
  <si>
    <t>แผ่นที่  43/46</t>
  </si>
  <si>
    <t xml:space="preserve"> -201-</t>
  </si>
  <si>
    <t xml:space="preserve">       1.3.1.5</t>
  </si>
  <si>
    <t>ค่างาน 100,000,001 - 300,000,000 บาท</t>
  </si>
  <si>
    <t>บุคคลากรจำนวน 12  คน</t>
  </si>
  <si>
    <t xml:space="preserve">  - วิศวกร 3 คน           =</t>
  </si>
  <si>
    <t xml:space="preserve">  - โฟร์แมน 3 คน       =</t>
  </si>
  <si>
    <t xml:space="preserve">  - เสมียน 2 คน          =</t>
  </si>
  <si>
    <t xml:space="preserve">  - หัวหน้าช่าง 2 คน   =</t>
  </si>
  <si>
    <t xml:space="preserve">  - คุมเครื่องจักร 2 คน =</t>
  </si>
  <si>
    <t xml:space="preserve">       1.3.1.6</t>
  </si>
  <si>
    <t>ค่างาน 300,000,001 - 500,000,000 บาท</t>
  </si>
  <si>
    <t>บุคคลากรจำนวน 18  คน</t>
  </si>
  <si>
    <t xml:space="preserve">  - วิศวกรโครงการ 1 คน =</t>
  </si>
  <si>
    <t xml:space="preserve">  - สถาปนิก 1 คน       =</t>
  </si>
  <si>
    <t xml:space="preserve">  - เสมียน 3 คน          =</t>
  </si>
  <si>
    <t xml:space="preserve">  - หัวหน้าช่าง 3 คน   =</t>
  </si>
  <si>
    <t>แผ่นที่  44/46</t>
  </si>
  <si>
    <t xml:space="preserve"> -202-</t>
  </si>
  <si>
    <t xml:space="preserve">  - คุมเครื่องจักร 3 คน =</t>
  </si>
  <si>
    <t xml:space="preserve">       1.3.1.7</t>
  </si>
  <si>
    <t>ค่างาน ตั้งแต่ - 500,000,000 บาท  ขึ้นไป</t>
  </si>
  <si>
    <t>บุคคลากรจำนวน 24  คน</t>
  </si>
  <si>
    <t xml:space="preserve">  - วิศวกรโครงการ 1 คน  =</t>
  </si>
  <si>
    <t xml:space="preserve">  - วิศวกร 4 คน           =</t>
  </si>
  <si>
    <t xml:space="preserve">  - โฟร์แมน 5 คน       =</t>
  </si>
  <si>
    <t xml:space="preserve"> -เจ้าหน้าที่ความปลอดภัย =</t>
  </si>
  <si>
    <t>แผ่นที่  45/46</t>
  </si>
  <si>
    <t xml:space="preserve"> -203-</t>
  </si>
  <si>
    <t>ข้อ 1.3.1  ค่าใช้จ่ายในการบริหารโครงการและบุคคลากรในการดำเนินงานก่อสร้างจนเสร็จงาน</t>
  </si>
  <si>
    <t>ข้อ  1.4</t>
  </si>
  <si>
    <t>หมวดค่าใช้จ่ายในการบริหารความเสี่ยง</t>
  </si>
  <si>
    <t>ข้อ  1.4.1</t>
  </si>
  <si>
    <t>ค่าใช้จ่ายในการบริหารความเสี่ยง</t>
  </si>
  <si>
    <t>กำหนดเป็นอัตราร้อยละของค่างาน (ทุน)</t>
  </si>
  <si>
    <t>ค่าใช้จ่ายเกี่ยวกับการประกันภัย  +  ค่าใช้จ่ายในการบริหารความเสี่ยงอื่นๆ</t>
  </si>
  <si>
    <t>% ของค่างาน (ทุน)</t>
  </si>
  <si>
    <t>แผ่นที่  46/46</t>
  </si>
  <si>
    <r>
      <t xml:space="preserve">          </t>
    </r>
    <r>
      <rPr>
        <u val="single"/>
        <sz val="14"/>
        <rFont val="AngsanaUPC"/>
        <family val="1"/>
      </rPr>
      <t>เงื่อนไข</t>
    </r>
  </si>
  <si>
    <r>
      <t xml:space="preserve">           </t>
    </r>
    <r>
      <rPr>
        <u val="single"/>
        <sz val="14"/>
        <rFont val="AngsanaUPC"/>
        <family val="1"/>
      </rPr>
      <t>ค่างาน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</si>
  <si>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500,000 - 10,000,000 บาท</t>
    </r>
  </si>
  <si>
    <r>
      <t xml:space="preserve">                               </t>
    </r>
    <r>
      <rPr>
        <u val="single"/>
        <sz val="14"/>
        <rFont val="AngsanaUPC"/>
        <family val="1"/>
      </rPr>
      <t>ระยะเวลา(โดยเฉลี่ย)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</si>
  <si>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10,000,001 - 30,000,000 บาท</t>
    </r>
  </si>
  <si>
    <r>
      <t xml:space="preserve">          </t>
    </r>
    <r>
      <rPr>
        <u val="single"/>
        <sz val="14"/>
        <rFont val="AngsanaUPC"/>
        <family val="1"/>
      </rPr>
      <t xml:space="preserve">เงื่อนไขค่างานตั้งแต่  30,000,001 - 50,000,000  บาท 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</si>
  <si>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80,000,001 - 100,000,000  บาท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</si>
  <si>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100,000,001 - 300,000,000  บาท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</si>
  <si>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300,000,001 - 1,000,000,000  บาท</t>
    </r>
  </si>
  <si>
    <r>
      <t xml:space="preserve">         </t>
    </r>
    <r>
      <rPr>
        <u val="single"/>
        <sz val="14"/>
        <rFont val="AngsanaUPC"/>
        <family val="1"/>
      </rPr>
      <t>หลักการคิด</t>
    </r>
    <r>
      <rPr>
        <sz val="14"/>
        <rFont val="AngsanaUPC"/>
        <family val="1"/>
      </rPr>
      <t xml:space="preserve">        1     ค่างาน  100 %  แบ่งเป็นรายละเอียดดังนี้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</si>
  <si>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500,000 - 10,000,000  บาท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</si>
  <si>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10,000,001 - 25,000,000  บาท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</si>
  <si>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25,000,001 - 100,000,000  บาท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</si>
  <si>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100,000,001 - 250,000,000  บาท</t>
    </r>
  </si>
  <si>
    <r>
      <t xml:space="preserve">          </t>
    </r>
    <r>
      <rPr>
        <u val="single"/>
        <sz val="14"/>
        <rFont val="AngsanaUPC"/>
        <family val="1"/>
      </rPr>
      <t>เงื่อนไขค่างานตั้งแต่  500,000,001 - 1,000,000,000  บาท</t>
    </r>
  </si>
  <si>
    <r>
      <t xml:space="preserve"> หลักการคิด</t>
    </r>
    <r>
      <rPr>
        <sz val="14"/>
        <rFont val="AngsanaUPC"/>
        <family val="1"/>
      </rPr>
      <t xml:space="preserve">  -  ค่าแรงงานคิด  30 % ของโครงการ</t>
    </r>
  </si>
  <si>
    <r>
      <t xml:space="preserve">                               </t>
    </r>
    <r>
      <rPr>
        <u val="single"/>
        <sz val="14"/>
        <rFont val="AngsanaUPC"/>
        <family val="1"/>
      </rPr>
      <t>ระยะเวลา</t>
    </r>
  </si>
  <si>
    <r>
      <t xml:space="preserve">           </t>
    </r>
    <r>
      <rPr>
        <u val="single"/>
        <sz val="14"/>
        <color indexed="18"/>
        <rFont val="AngsanaUPC"/>
        <family val="1"/>
      </rPr>
      <t>ค่างาน</t>
    </r>
  </si>
  <si>
    <r>
      <t xml:space="preserve">                               </t>
    </r>
    <r>
      <rPr>
        <u val="single"/>
        <sz val="14"/>
        <color indexed="18"/>
        <rFont val="AngsanaUPC"/>
        <family val="1"/>
      </rPr>
      <t>ระยะเวลา</t>
    </r>
  </si>
  <si>
    <r>
      <t xml:space="preserve">                                        </t>
    </r>
    <r>
      <rPr>
        <u val="single"/>
        <sz val="14"/>
        <color indexed="18"/>
        <rFont val="AngsanaUPC"/>
        <family val="1"/>
      </rPr>
      <t>ค่าน้ำ</t>
    </r>
  </si>
  <si>
    <r>
      <t xml:space="preserve">   </t>
    </r>
    <r>
      <rPr>
        <u val="single"/>
        <sz val="14"/>
        <color indexed="18"/>
        <rFont val="AngsanaUPC"/>
        <family val="1"/>
      </rPr>
      <t>ค่าไฟ</t>
    </r>
  </si>
  <si>
    <r>
      <t xml:space="preserve">                          </t>
    </r>
    <r>
      <rPr>
        <u val="single"/>
        <sz val="14"/>
        <color indexed="18"/>
        <rFont val="AngsanaUPC"/>
        <family val="1"/>
      </rPr>
      <t>ค่างาน</t>
    </r>
  </si>
  <si>
    <r>
      <t xml:space="preserve">                  </t>
    </r>
    <r>
      <rPr>
        <u val="single"/>
        <sz val="14"/>
        <rFont val="AngsanaUPC"/>
        <family val="1"/>
      </rPr>
      <t>ที่พักคนงาน</t>
    </r>
  </si>
  <si>
    <r>
      <t xml:space="preserve">                                        </t>
    </r>
    <r>
      <rPr>
        <u val="single"/>
        <sz val="14"/>
        <color indexed="18"/>
        <rFont val="AngsanaUPC"/>
        <family val="1"/>
      </rPr>
      <t>สำนักงาน</t>
    </r>
  </si>
  <si>
    <r>
      <t xml:space="preserve">               </t>
    </r>
    <r>
      <rPr>
        <u val="single"/>
        <sz val="14"/>
        <color indexed="18"/>
        <rFont val="AngsanaUPC"/>
        <family val="1"/>
      </rPr>
      <t>หน่วยงาน</t>
    </r>
  </si>
  <si>
    <r>
      <t xml:space="preserve">          </t>
    </r>
    <r>
      <rPr>
        <u val="single"/>
        <sz val="14"/>
        <color indexed="18"/>
        <rFont val="AngsanaUPC"/>
        <family val="1"/>
      </rPr>
      <t>รวม</t>
    </r>
  </si>
  <si>
    <r>
      <t xml:space="preserve">                  </t>
    </r>
    <r>
      <rPr>
        <u val="single"/>
        <sz val="14"/>
        <color indexed="18"/>
        <rFont val="AngsanaUPC"/>
        <family val="1"/>
      </rPr>
      <t>ที่พักคนงาน</t>
    </r>
  </si>
  <si>
    <r>
      <t xml:space="preserve">                        </t>
    </r>
    <r>
      <rPr>
        <u val="single"/>
        <sz val="14"/>
        <rFont val="AngsanaUPC"/>
        <family val="1"/>
      </rPr>
      <t>ค่างาน</t>
    </r>
  </si>
  <si>
    <r>
      <t xml:space="preserve">           </t>
    </r>
    <r>
      <rPr>
        <u val="single"/>
        <sz val="14"/>
        <rFont val="AngsanaUPC"/>
        <family val="1"/>
      </rPr>
      <t>คิดเป็นร้อยละ</t>
    </r>
  </si>
  <si>
    <r>
      <t xml:space="preserve">                                </t>
    </r>
    <r>
      <rPr>
        <u val="single"/>
        <sz val="14"/>
        <rFont val="AngsanaUPC"/>
        <family val="1"/>
      </rPr>
      <t>ค่างาน</t>
    </r>
  </si>
  <si>
    <r>
      <t xml:space="preserve">        </t>
    </r>
    <r>
      <rPr>
        <u val="single"/>
        <sz val="14"/>
        <rFont val="AngsanaUPC"/>
        <family val="1"/>
      </rPr>
      <t>คิดเป็นร้อยละ</t>
    </r>
  </si>
  <si>
    <r>
      <t xml:space="preserve">หมายเหตุ    </t>
    </r>
    <r>
      <rPr>
        <sz val="14"/>
        <rFont val="Cordia New"/>
        <family val="2"/>
      </rPr>
      <t xml:space="preserve"> ค่าใช้จ่ายเกี่ยวกับการประกันภัย   หมายถึง ค่าประกันความเสียหายระหว่างการก่อสร้าง</t>
    </r>
  </si>
  <si>
    <t xml:space="preserve">สถานที่ก่อสร้าง </t>
  </si>
  <si>
    <t>ประมาณราคาเมื่อวันที่</t>
  </si>
  <si>
    <t>ลำดับที่</t>
  </si>
  <si>
    <t>รายการ</t>
  </si>
  <si>
    <t>จำนวน</t>
  </si>
  <si>
    <t>หน่วย</t>
  </si>
  <si>
    <t>ราคาหน่วยละ</t>
  </si>
  <si>
    <t>จำนวนเงิน</t>
  </si>
  <si>
    <t>หมายเหตุ</t>
  </si>
  <si>
    <t xml:space="preserve">รายการเลขที่  </t>
  </si>
  <si>
    <t>ราคาวัสดุ</t>
  </si>
  <si>
    <t>ค่าแรงงาน</t>
  </si>
  <si>
    <t>รวมค่าวัสดุ
และค่าแรงงาน</t>
  </si>
  <si>
    <t>สรุปผลการประมาณราคาค่าก่อสร้าง</t>
  </si>
  <si>
    <t xml:space="preserve">ประเภท    </t>
  </si>
  <si>
    <t xml:space="preserve">เจ้าของอาคาร   </t>
  </si>
  <si>
    <t>ประมาณราคาตามแบบ</t>
  </si>
  <si>
    <t>ค่าวัสดุและค่าแรงงาน
จำนวนเงิน / บาท</t>
  </si>
  <si>
    <t>FACTOR  F</t>
  </si>
  <si>
    <t>รวมค่าก่อสร้าง
เป็นเงิน/บาท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</si>
  <si>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</si>
  <si>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</si>
  <si>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</si>
  <si>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</si>
  <si>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</si>
  <si>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สรุป</t>
  </si>
  <si>
    <t>รวมค่าก่อสร้างเป็นเงินทั้งสิ้น</t>
  </si>
  <si>
    <t>)</t>
  </si>
  <si>
    <t>เฉลี่ยราคาประมาณ</t>
  </si>
  <si>
    <t>ขนาดหรือเนื้อที่อาคาร</t>
  </si>
  <si>
    <t>ตารางเมตร</t>
  </si>
  <si>
    <t>บาท / ตารางเมตร</t>
  </si>
  <si>
    <t>.......………………………...............................….................…</t>
  </si>
  <si>
    <t>แผ่น</t>
  </si>
  <si>
    <t>ปร.4</t>
  </si>
  <si>
    <t>สรุปผลดังนี้ :</t>
  </si>
  <si>
    <t>เป็นเงินประมาณ</t>
  </si>
  <si>
    <t xml:space="preserve"> **</t>
  </si>
  <si>
    <r>
      <t>\</t>
    </r>
    <r>
      <rPr>
        <b/>
        <sz val="14"/>
        <rFont val="Cordia New"/>
        <family val="2"/>
      </rPr>
      <t xml:space="preserve">  รวมค่าก่อสร้างเป็นเงินทั้งสิ้น</t>
    </r>
  </si>
  <si>
    <t>บัญชีแสดงปริมาณวัสดุและราคาค่าก่อสร้าง</t>
  </si>
  <si>
    <t>บริษัทหรือห้างหุ้นส่วน</t>
  </si>
  <si>
    <t>……………………………………………….......................................................................................................................................................................................................................………...…...……….……......</t>
  </si>
  <si>
    <t>(ผู้เสนอราคา)</t>
  </si>
  <si>
    <t>สรุปค่าก่อสร้าง</t>
  </si>
  <si>
    <t>ราคารวม
บาท</t>
  </si>
  <si>
    <t>1.1 หมวดงานโครงสร้าง</t>
  </si>
  <si>
    <t>1.2 หมวดงานสถาปัตยกรรม</t>
  </si>
  <si>
    <t>1.3 หมวดงานระบบสุขาภิบาล</t>
  </si>
  <si>
    <t>1.4 หมวดงานระบบไฟฟ้า</t>
  </si>
  <si>
    <t>1.5 หมวดงานระบบปรับอากาศและระบายอากาศ</t>
  </si>
  <si>
    <t>รวมเป็นเงิน</t>
  </si>
  <si>
    <t>ค่าอำนวยการและดำเนินงาน</t>
  </si>
  <si>
    <t>เป็นเงิน</t>
  </si>
  <si>
    <t>ค่ากำไร</t>
  </si>
  <si>
    <t>ค่าภาษีอากร</t>
  </si>
  <si>
    <t>ลงชื่อ</t>
  </si>
  <si>
    <t>....…………………….…………………………………….……………….……</t>
  </si>
  <si>
    <r>
      <t>(</t>
    </r>
    <r>
      <rPr>
        <vertAlign val="subscript"/>
        <sz val="14"/>
        <rFont val="Cordia New"/>
        <family val="2"/>
      </rPr>
      <t xml:space="preserve"> ………...…...………………………………….…… </t>
    </r>
    <r>
      <rPr>
        <sz val="14"/>
        <rFont val="Cordia New"/>
        <family val="0"/>
      </rPr>
      <t>)</t>
    </r>
  </si>
  <si>
    <t>(ผู้จัดการหรือผู้มีอำนาจเต็ม)</t>
  </si>
  <si>
    <t xml:space="preserve"> ในนาม</t>
  </si>
  <si>
    <r>
      <t>วันที่</t>
    </r>
    <r>
      <rPr>
        <vertAlign val="subscript"/>
        <sz val="14"/>
        <rFont val="Cordia New"/>
        <family val="2"/>
      </rPr>
      <t>……..……</t>
    </r>
    <r>
      <rPr>
        <sz val="14"/>
        <rFont val="Cordia New"/>
        <family val="0"/>
      </rPr>
      <t>เดือน</t>
    </r>
    <r>
      <rPr>
        <vertAlign val="subscript"/>
        <sz val="14"/>
        <rFont val="Cordia New"/>
        <family val="2"/>
      </rPr>
      <t>…………..…………………</t>
    </r>
    <r>
      <rPr>
        <sz val="14"/>
        <rFont val="Cordia New"/>
        <family val="0"/>
      </rPr>
      <t>พ.ศ.</t>
    </r>
    <r>
      <rPr>
        <vertAlign val="subscript"/>
        <sz val="14"/>
        <rFont val="Cordia New"/>
        <family val="2"/>
      </rPr>
      <t xml:space="preserve"> ………....………</t>
    </r>
  </si>
  <si>
    <t>(ผู้คิดราคา)</t>
  </si>
  <si>
    <r>
      <t>(ตัวอักษร)</t>
    </r>
    <r>
      <rPr>
        <sz val="14"/>
        <rFont val="Cordia New"/>
        <family val="0"/>
      </rPr>
      <t xml:space="preserve">   </t>
    </r>
    <r>
      <rPr>
        <b/>
        <sz val="14"/>
        <rFont val="Cordia New"/>
        <family val="2"/>
      </rPr>
      <t>(</t>
    </r>
  </si>
  <si>
    <t>……………………………………………………………………………………………….……….……………………..…</t>
  </si>
  <si>
    <t>ค่างาน (ทุน)</t>
  </si>
  <si>
    <t>ดอกเบี้ยเงินกู้</t>
  </si>
  <si>
    <t>หมวดงานระบบปรับอากาศและระบายอากาศ</t>
  </si>
  <si>
    <t>รวม</t>
  </si>
  <si>
    <t xml:space="preserve"> </t>
  </si>
  <si>
    <t>1.6 หมวดงานอื่นๆ (ถ้ามีให้ระบุในรายการ)</t>
  </si>
  <si>
    <t xml:space="preserve">□ </t>
  </si>
  <si>
    <t>เห็นชอบ</t>
  </si>
  <si>
    <t>ตรวจ</t>
  </si>
  <si>
    <t>หน่วยงานออกแบบแปลนและรายการ</t>
  </si>
  <si>
    <t xml:space="preserve">รายการประมาณการค่าก่อสร้าง  </t>
  </si>
  <si>
    <t>นายช่างโยธา   7</t>
  </si>
  <si>
    <r>
      <t>บริษัทหรือห้างหุ้นส่วน</t>
    </r>
    <r>
      <rPr>
        <vertAlign val="subscript"/>
        <sz val="16"/>
        <rFont val="Cordia New"/>
        <family val="2"/>
      </rPr>
      <t>……………………………………………….............................................................................................................................................………...…...……….……......</t>
    </r>
    <r>
      <rPr>
        <b/>
        <sz val="16"/>
        <rFont val="Cordia New"/>
        <family val="2"/>
      </rPr>
      <t>(ผู้เสนอราคา)</t>
    </r>
  </si>
  <si>
    <t xml:space="preserve">บัญชีแสดงปริมาณวัสดุและราคาค่าก่อสร้าง    </t>
  </si>
  <si>
    <t>ค่าวัสดุ</t>
  </si>
  <si>
    <t xml:space="preserve">                           (เทคนิคกรุงเทพฯ)</t>
  </si>
  <si>
    <t>การแบ่งงวดงาน  การจ่ายเงิน  กำหนดเวลาแล้วเสร็จ</t>
  </si>
  <si>
    <t>……………………………………………………………………….</t>
  </si>
  <si>
    <t>งวดที่</t>
  </si>
  <si>
    <t>เป็นเงินร้อยละ</t>
  </si>
  <si>
    <t>ของค่าจ้างเหมาตามที่ตกลงทำสัญญาว่าจ้าง</t>
  </si>
  <si>
    <t>จะจ่ายให้เมื่อผู้รับจ้างได้ทำการก่อสร้างดังนี้.-</t>
  </si>
  <si>
    <t>- ปรับพื้นที่พร้อมถมดิน แล้วเสร็จ</t>
  </si>
  <si>
    <t>- ตอกเสาเข็ม ทั้งหมดแล้วเสร็จ</t>
  </si>
  <si>
    <t>- หล่อคอนกรีตฐานราก  ทั้งหมดแล้วเสร็จ</t>
  </si>
  <si>
    <t>- หล่อคอนกรีตเสาตอม่อ   ทั้งหมดแล้วเสร็จ</t>
  </si>
  <si>
    <t>กำหนดเวลาแล้วเสร็จ</t>
  </si>
  <si>
    <t>วัน</t>
  </si>
  <si>
    <t xml:space="preserve">ไม่ใช้สัญญาแบบปรับราคา </t>
  </si>
  <si>
    <t>- หล่อคอนกรีตคาน  ชั้นที่ 1 ทั้งหมดแล้วเสร็จ</t>
  </si>
  <si>
    <t>- หล่อคอนกรีตพื้น  ชั้นที่ 1 ทั้งหมดแล้วเสร็จ</t>
  </si>
  <si>
    <t>- ติดตั้งพื้นสำเร็จรูปพร้อมหล่อคอนกรีตทับหน้า  ชั้นที่ 1 ทั้งหมดแล้วเสร็จ</t>
  </si>
  <si>
    <t>- หล่อคอนกรีตเสา  ชั้นที่ 1  ทั้งหมดแล้วเสร็จ</t>
  </si>
  <si>
    <t>- หล่อคอนกรีตบันได  ขึ้นชั้นที่ 1  แล้วเสร็จ</t>
  </si>
  <si>
    <t>- ทำระบบกำจัดปลวก  แล้วเสร็จ</t>
  </si>
  <si>
    <t>- หล่อคอนกรีตคาน  ชั้นที่ 2 ทั้งหมดแล้วเสร็จ</t>
  </si>
  <si>
    <t>- หล่อคอนกรีตคานรับโครงหลังคาระดับพื้น  ชั้นที่ 2 แล้วเสร็จ</t>
  </si>
  <si>
    <t>- หล่อคอนกรีตพื้น  ชั้นที่ 2 ทั้งหมดแล้วเสร็จ</t>
  </si>
  <si>
    <t>- ติดตั้งพื้นสำเร็จรูปพร้อมหล่อคอนกรีตทับหน้า  ชั้นที่ 2 ทั้งหมดแล้วเสร็จ</t>
  </si>
  <si>
    <t>- หล่อคอนกรีตเสา  ชั้นที่ 2  ทั้งหมดแล้วเสร็จ</t>
  </si>
  <si>
    <t>- หล่อคอนกรีตบันได  ขึ้นชั้นที่ 2  แล้วเสร็จ</t>
  </si>
  <si>
    <t>- ติดตั้งโครงหลังคาระดับพื้น  ชั้นที่ 2 พร้อมทาสี แล้วเสร็จ</t>
  </si>
  <si>
    <t>- หล่อคอนกรีตคาน   ชั้นหลังคา  ทั้งหมดแล้วเสร็จ</t>
  </si>
  <si>
    <t>- หล่อคอนกรีตพื้น   ชั้นหลังคา  ทั้งหมดแล้วเสร็จ</t>
  </si>
  <si>
    <t>- ติดตั้งโครงหลังคาส่วนที่เหลือ พร้อมทาสี  แล้วเสร็จ</t>
  </si>
  <si>
    <t>- ก่ออิฐผนัง  แล้วเสร็จ  90%</t>
  </si>
  <si>
    <t>- หล่อคอนกรีตเสาเอ็น และเอ็นทับหลัง  แล้วเสร็จ</t>
  </si>
  <si>
    <t>- เดินท่อประปา, ท่อเครื่องสุขภัณฑ์, ท่อระบายน้ำฝน แล้วเสร็จ</t>
  </si>
  <si>
    <t>- เดินท่อร้อยสายระบบไฟฟ้า ระบบสื่อสาร  ระบบสัญญาณแจ้งเพลิงไหม้ แล้วเสร็จ</t>
  </si>
  <si>
    <t>- มุงหลังคาเหล็กรีดลอน หลังคาโพลีคาร์บอร์เนต  ทั้งหมดแล้วเสร็จ</t>
  </si>
  <si>
    <t>- ติดตั้งฝ้าเพดานเหล็กรีดลอน  แล้วเสร็จ</t>
  </si>
  <si>
    <t>- ติดตั้งผนังเหล็กรีดลอน  แล้วเสร็จ</t>
  </si>
  <si>
    <t>- ฉาบปูนภายใน ภายนอก ในส่วนที่ต้องฉาบ  แล้วเสร็จ 90 %</t>
  </si>
  <si>
    <t>- ทำระบบกันซึม   ทั้งหมดแล้วเสร็จ</t>
  </si>
  <si>
    <t>- ติดตั้งโครงเคร่าฝ้าเพดาน    ทั้งหมดแล้วเสร็จ</t>
  </si>
  <si>
    <t>- ตกแต่งผนังบุกระเบื้องเซรามิค กระเบื้องคอนกรีต   ทั้งหมดแล้วเสร็จ</t>
  </si>
  <si>
    <t>- ตกแต่งผิวพื้นปูกระเบื้องเซรามิค ปูแผ่นหินขัดสำเร็จ ปูหินแกรนิต  ทั้งหมดแล้วเสร็จ</t>
  </si>
  <si>
    <t>- ตกแต่งผิวพื้นขัดหยาบ ทำผิวกรวดล้าง  ปูกระเบื้องดินเผา  ทั้งหมดแล้วเสร็จ</t>
  </si>
  <si>
    <t>- ติดตั้งบัวเชิงผนัง   ทั้งหมดแล้วเสร็จ</t>
  </si>
  <si>
    <t>- ทำบ่อบำบัดน้ำเสีย  บ่อเกรอะพร้อมเดินท่อ  แล้วเสร็จ- ติดตั้งบัวเชิงผนัง   ทั้งหมดแล้วเสร็จ</t>
  </si>
  <si>
    <t>- ติดตั้งแผ่นฝ้าเพดาน   ทั้งหมดแล้วเสร็จ</t>
  </si>
  <si>
    <t>- ติดตั้งประตู - หน้าต่างอลูมิเนียมพร้อมอุปกรณ์ยกเว้นกระจก  ทั้งหมดแล้วเสร็จ</t>
  </si>
  <si>
    <t>- ทำการร้อยสายระบบระบบไฟฟ้า ระบบสื่อสาร  ระบบสัญญาณแจ้งเพลิงไหม้</t>
  </si>
  <si>
    <t>- ติดตั้งกระจกประตู - หน้าต่างอลูมิเนียมพร้อมอุปกรณ์  ทั้งหมดแล้วเสร็จ</t>
  </si>
  <si>
    <t>- ติดตั้งเครื่องสุขภัณฑ์ พร้อมอุปกรณ์ประกอบห้องน้ำ - ห้องส้วม   แล้วเสร็จ</t>
  </si>
  <si>
    <t>- หล่อคอนกรีต ถนน, ขอบคันหิน, ทางเท้า, ขอบกระถางต้นไม้ ทั้งหมดแล้วเสร็จ</t>
  </si>
  <si>
    <t>- ตกแต่งบันได  ราวบันได  แล้วเสร็จ</t>
  </si>
  <si>
    <t>- ติดตั้งราวจับราวกันตก   แล้วเสร็จ</t>
  </si>
  <si>
    <t>- ทำระบบระบายน้ำ  พร้อมบ่อพัก  ค.ส.ล.  แล้วเสร็จ</t>
  </si>
  <si>
    <t>- ติดตั้งตู้เมนย่อย, LOAD  CENTER  พร้อมอุปกรณ์  แล้วเสร็จ</t>
  </si>
  <si>
    <t>- ติดตั้งระบบโทรศัพท์  แล้วเสร็จ</t>
  </si>
  <si>
    <t>- ติดตั้งระบบสายล่อฟ้า พร้อมอุปกรณ์   แล้วเสร็จ</t>
  </si>
  <si>
    <t>- ติดตั้งระบบทีวีรวม แล้วเสร็จ</t>
  </si>
  <si>
    <t>- ทำพื้นผิวคอนกรีตพิมพ์ลาย  แล้วเสร็จ</t>
  </si>
  <si>
    <t>- ปลูกหญ้า, ปลูกต้นไม้  ทั้งหมดแล้วเสร็จ</t>
  </si>
  <si>
    <t>- ติดตั้งป้ายชื่อ  ตราสัญลักษณ์  แล้วเสร็จ</t>
  </si>
  <si>
    <t>- ติดตั้งเครื่องสูบน้ำ ตู้ควบคุม พร้อมอุปกรณ์   ทั้งหมดแล้วเสร็จ</t>
  </si>
  <si>
    <t>- ติดตั้งถังดับเพลิงเคมี  แล้วเสร็จ</t>
  </si>
  <si>
    <t>- ติดตั้งดวงโคมไฟฟ้า พร้อมอุปกรณ์   แล้วเสร็จ</t>
  </si>
  <si>
    <t>- ติดตั้งหม้อแปลงไฟฟ้า  พร้อมอุปกรณ์ แล้วเสร็จ</t>
  </si>
  <si>
    <t>- ทาสีตกแต่งส่วนต่างๆ ทั้ง ภายในและภายนอกในส่วนที่ต้องทา  ทั้งหมดแล้วเสร็จ</t>
  </si>
  <si>
    <t>- ทำการทดสอบระบบสุขาภิบาล, ระบบไฟฟ้า, ระบบโทรศัพท์, ระบบสัญญาณแจ้งเพลิงไหม้</t>
  </si>
  <si>
    <t xml:space="preserve">   ระบบทีวีรวม และระบบต่าง ๆ  จนใช้การได้เรียบร้อยสมบูรณ์  ทั้งหมดแล้วเสร็จ</t>
  </si>
  <si>
    <t>- นอกจากนี้ให้ทำการก่อสร้างงานส่วนอื่นๆ ที่เหลือทั้งหมดให้แล้วเสร็จเรียบร้อยถูกต้อง</t>
  </si>
  <si>
    <t xml:space="preserve">   ครบถ้วนตามรูปแบบ รายการก่อสร้าง และสัญญาทุกประการ</t>
  </si>
  <si>
    <t>กำหนดเวลาแล้วเสร็จทั้งหมดภายใน</t>
  </si>
  <si>
    <t>แบ่งงวดงานออกเป็น  9  งวด</t>
  </si>
  <si>
    <t>ฝ่ายประมาณราคา</t>
  </si>
  <si>
    <t>สำนักสถาปัตยกรรม กรมโยธาธิการและผังเมือง</t>
  </si>
  <si>
    <t>.......………………………...............................…..........</t>
  </si>
  <si>
    <t>แบ่งงวดงาน</t>
  </si>
  <si>
    <t>หมวดงานวิศวกรรมโครงสร้าง = 6,973,474</t>
  </si>
  <si>
    <t>หมวดงานสถาปัตยกรรม         = 8,951,317</t>
  </si>
  <si>
    <t>หมวดงานระบบสุขาภิบาล      =  1,839,101</t>
  </si>
  <si>
    <t>หมวดงานระบบไฟฟ้า                 = 2,200,772</t>
  </si>
  <si>
    <t>หมวดงานผังบริเวณ                   = 1,175,332</t>
  </si>
  <si>
    <t>รวมค่าวัสดุและแรงงาน               = 21,139,996</t>
  </si>
  <si>
    <r>
      <t xml:space="preserve">รวมเป็นเงินร้อยละ            =  </t>
    </r>
    <r>
      <rPr>
        <b/>
        <sz val="14"/>
        <rFont val="Cordia New"/>
        <family val="2"/>
      </rPr>
      <t>100.00 %</t>
    </r>
  </si>
  <si>
    <t xml:space="preserve">รายการแบ่งงวดงาน    </t>
  </si>
  <si>
    <t xml:space="preserve">แบ่งงวดงานโดย    </t>
  </si>
  <si>
    <t>นายสุรพล   กุหลาบศรี</t>
  </si>
  <si>
    <t>งวดที่(a)</t>
  </si>
  <si>
    <t xml:space="preserve">   ค่าวัสดุ
และค่าแรง (b)</t>
  </si>
  <si>
    <t>เงินทุน/งวด
รวม F ©</t>
  </si>
  <si>
    <t>เงินทุน+ยอดคง
เหลือ ยกมา (d)</t>
  </si>
  <si>
    <t>เป็นเงิน
ร้อยละ (e)</t>
  </si>
  <si>
    <t>จ่ายเงินงวด
(บาท) (f)</t>
  </si>
  <si>
    <t>ยอดคงเหลือ
ยกไป (g)</t>
  </si>
  <si>
    <t>%/งวด
(h)</t>
  </si>
  <si>
    <t>เวลา
(วัน)</t>
  </si>
  <si>
    <t>(นายสุรพล  กุหลาบศรี)</t>
  </si>
  <si>
    <t>นายช่างโยธา   6</t>
  </si>
  <si>
    <t>ค่าวัสดุและแรงงาน</t>
  </si>
  <si>
    <t>(นายสุชาติ   ตรีสัตยพันธ์)</t>
  </si>
  <si>
    <t>(</t>
  </si>
  <si>
    <t>(ตัวอักษร)</t>
  </si>
  <si>
    <t>(                                                )</t>
  </si>
  <si>
    <t>ในนาม</t>
  </si>
  <si>
    <r>
      <t>วันที่</t>
    </r>
    <r>
      <rPr>
        <vertAlign val="subscript"/>
        <sz val="18"/>
        <rFont val="Cordia New"/>
        <family val="2"/>
      </rPr>
      <t xml:space="preserve"> .......…………</t>
    </r>
    <r>
      <rPr>
        <sz val="18"/>
        <rFont val="Cordia New"/>
        <family val="2"/>
      </rPr>
      <t>เดือน</t>
    </r>
    <r>
      <rPr>
        <vertAlign val="subscript"/>
        <sz val="18"/>
        <rFont val="Cordia New"/>
        <family val="2"/>
      </rPr>
      <t>……………................</t>
    </r>
    <r>
      <rPr>
        <sz val="18"/>
        <rFont val="Cordia New"/>
        <family val="2"/>
      </rPr>
      <t>พ.ศ.</t>
    </r>
    <r>
      <rPr>
        <vertAlign val="subscript"/>
        <sz val="18"/>
        <rFont val="Cordia New"/>
        <family val="2"/>
      </rPr>
      <t>..…...........</t>
    </r>
  </si>
  <si>
    <r>
      <t>คิดเป็นเงินประมาณ</t>
    </r>
  </si>
  <si>
    <t>%</t>
  </si>
  <si>
    <t>ระยะเวลา</t>
  </si>
  <si>
    <t>ล้านบาท</t>
  </si>
  <si>
    <t>เดือน</t>
  </si>
  <si>
    <t>ดอกเบี้ย</t>
  </si>
  <si>
    <t>กำไร</t>
  </si>
  <si>
    <t>ไม่เกิน</t>
  </si>
  <si>
    <t>เกินกว่า</t>
  </si>
  <si>
    <t>ตารางสรุปค่าอำนวยการในการดำเนินงานก่อสร้างอาคาร</t>
  </si>
  <si>
    <t xml:space="preserve"> -156-</t>
  </si>
  <si>
    <t>แผ่นที่ 1/2</t>
  </si>
  <si>
    <r>
      <t xml:space="preserve"> ค่าอำนวยการก่อสร้าง  </t>
    </r>
    <r>
      <rPr>
        <sz val="16"/>
        <color indexed="18"/>
        <rFont val="EucrosiaUPC"/>
        <family val="1"/>
      </rPr>
      <t>(แบ่งค่าใช้จ่ายออกได้เป็น  4  หมวด)</t>
    </r>
  </si>
  <si>
    <t>ค่างาน ( ล้านบาท )</t>
  </si>
  <si>
    <t>หมวดค่าใช้จ่าย ขั้นตอนการประกวดราคาและการทำสัญญา</t>
  </si>
  <si>
    <t>1.1.1</t>
  </si>
  <si>
    <t xml:space="preserve"> ค่าธรรมเนียมค้ำประกันสัญญาจ้าง (PERFORMANCE  BOND)</t>
  </si>
  <si>
    <t>1.1.2</t>
  </si>
  <si>
    <t xml:space="preserve"> ค่าธรรมเนียมในการรับผิดชอบผลงานก่อสร้างระยะเวลา 2 ปี หลังส่งมอบงาน</t>
  </si>
  <si>
    <t>1.1.3</t>
  </si>
  <si>
    <t xml:space="preserve"> ค่าอากรติดสัญญา</t>
  </si>
  <si>
    <t>1.1.4</t>
  </si>
  <si>
    <t xml:space="preserve"> ค่าสมทบกองทุนเงินทดแทนและค่ากองทุนประกันสังคม (0.51%+0.35% ของค่าแรงงาน)</t>
  </si>
  <si>
    <t xml:space="preserve"> หมวดค่าใช้จ่าย สำนักงาน,ที่พักคนงานและโรงงาน ฯลฯ</t>
  </si>
  <si>
    <t>1.2.1</t>
  </si>
  <si>
    <t xml:space="preserve"> ค่าใช้จ่ายในการพิมพ์แบบเพิ่มเติม,จัดทำ SHOP DRAWING &amp; AS-BUILT DRAWING</t>
  </si>
  <si>
    <t>1.2.2</t>
  </si>
  <si>
    <t xml:space="preserve"> ค่าใช้จ่ายในการส่งตัวอย่างวัสดุทดสอบและหนังสือรับรอง</t>
  </si>
  <si>
    <t>1.2.3</t>
  </si>
  <si>
    <t xml:space="preserve"> ค่าใช้จ่ายและจัดเตรียมเอกสารต่างๆ ระหว่างทำการก่อสร้าง</t>
  </si>
  <si>
    <t>1.2.4</t>
  </si>
  <si>
    <t xml:space="preserve"> ค่ารักษาความสะอาดและขนขยะในระหว่างก่อสร้าง</t>
  </si>
  <si>
    <t>1.2.5</t>
  </si>
  <si>
    <t xml:space="preserve"> ค่าก่อสร้างที่พักคนงาน,สำนักงาน,โรงงาน,โรงเก็บวัสดุชั่วคราว</t>
  </si>
  <si>
    <t>1.2.6</t>
  </si>
  <si>
    <t xml:space="preserve"> ค่าสาธารณูปโภค,น้ำ,ไฟฟ้า,สื่อสารชั่วคราว</t>
  </si>
  <si>
    <t>1.2.7</t>
  </si>
  <si>
    <t xml:space="preserve"> ค่าอุปกรณ์ความปลอดภัยเช่น หมวก,รองเท้าบูช, ถุงมือ,ถังดับเพลิงฯลฯ เป็นต้น</t>
  </si>
  <si>
    <t>1.2.8</t>
  </si>
  <si>
    <t xml:space="preserve"> ค่าทำป้ายชื่องาน,ป้ายสัญญาณเตือนภัยต่างๆ ฯลฯ</t>
  </si>
  <si>
    <t xml:space="preserve"> หมวดค่าใช้จ่าย บริหารโครงการและบุคคลากรในการดำเนินงานก่อสร้าง</t>
  </si>
  <si>
    <t>1.3.1</t>
  </si>
  <si>
    <t xml:space="preserve"> ค่าใช้จ่ายบริหารโครงการและบุคคลากรในการดำเนินงานก่อสร้างจนเสร็จงาน</t>
  </si>
  <si>
    <t xml:space="preserve"> หมวดค่าใช้จ่ายในการบริหารความเสี่ยง</t>
  </si>
  <si>
    <t>1.4.1</t>
  </si>
  <si>
    <t xml:space="preserve"> ค่าประกันภัยและความเสี่ยงอื่นๆ</t>
  </si>
  <si>
    <t>รวมค่าอำนวยการก่อสร้าง  ( % )</t>
  </si>
  <si>
    <r>
      <t>หมายเหตุ</t>
    </r>
    <r>
      <rPr>
        <sz val="14"/>
        <rFont val="AngsanaUPC"/>
        <family val="1"/>
      </rPr>
      <t xml:space="preserve">        คิดระยะเวลาก่อสร้างเฉลี่ยที่  6 เดือน    ถึง 18  เดือน   </t>
    </r>
  </si>
  <si>
    <t xml:space="preserve"> -157-</t>
  </si>
  <si>
    <t>แผ่นที่ 2/2</t>
  </si>
  <si>
    <r>
      <t xml:space="preserve"> ค่าอำนวยการก่อสร้าง   </t>
    </r>
    <r>
      <rPr>
        <sz val="16"/>
        <color indexed="18"/>
        <rFont val="EucrosiaUPC"/>
        <family val="1"/>
      </rPr>
      <t>(แบ่งค่าใช้จ่ายออกได้เป็น  4  หมวด)</t>
    </r>
  </si>
  <si>
    <t xml:space="preserve"> ค่าสมทบกองทุนเงินทดแทนและค่ากองทุนประกันสังคม (0.51%+0.35% ของค่าแรงงาน))</t>
  </si>
  <si>
    <r>
      <t>หมายเหตุ</t>
    </r>
    <r>
      <rPr>
        <sz val="14"/>
        <rFont val="AngsanaUPC"/>
        <family val="1"/>
      </rPr>
      <t xml:space="preserve">          คิดระยะเวลาก่อสร้างเฉลี่ยที่  20 เดือน    ถึง  40  เดือน   </t>
    </r>
  </si>
  <si>
    <t xml:space="preserve"> -204-</t>
  </si>
  <si>
    <t xml:space="preserve">  % ต่อปี</t>
  </si>
  <si>
    <t>เงินจ่ายล่วงหน้า</t>
  </si>
  <si>
    <t xml:space="preserve">  % ของค่างาน</t>
  </si>
  <si>
    <t>ระยะเวลาการเบิกจ่าย</t>
  </si>
  <si>
    <t xml:space="preserve">  เดือน</t>
  </si>
  <si>
    <t>หักเงินประกันผลงาน</t>
  </si>
  <si>
    <t>สูตร</t>
  </si>
  <si>
    <t>I    =   i/12*[r/100+(T+D-1)*a/100-(a+r)/100*(T+1)/2-(D-1)]</t>
  </si>
  <si>
    <t>เงินจ่าย</t>
  </si>
  <si>
    <t>หักเงินประกัน</t>
  </si>
  <si>
    <t>อัตรา</t>
  </si>
  <si>
    <t>จำนวนดอกเบี้ยต่อ</t>
  </si>
  <si>
    <t>ล่วงหน้า</t>
  </si>
  <si>
    <t>ผลงาน</t>
  </si>
  <si>
    <t>ค่างาน ( ทุน )</t>
  </si>
  <si>
    <t>% ต่อปี</t>
  </si>
  <si>
    <t xml:space="preserve"> เมื่อ</t>
  </si>
  <si>
    <t>I  =</t>
  </si>
  <si>
    <t>ดอกเบี้ยรวมทั้งโครงการ(%)</t>
  </si>
  <si>
    <t>T  =</t>
  </si>
  <si>
    <t>ระยะเวลา(เดือน)</t>
  </si>
  <si>
    <t>D  =</t>
  </si>
  <si>
    <t>ช่วงเวลาการรับเงิน(เดือน)</t>
  </si>
  <si>
    <t>a  =</t>
  </si>
  <si>
    <t>อัตราเงินล่วงหน้าจ่าย(%)</t>
  </si>
  <si>
    <t>i  =</t>
  </si>
  <si>
    <t>อัตราดอกเบี้ยเงินกู้ต่อปี(%)</t>
  </si>
  <si>
    <t>r  =</t>
  </si>
  <si>
    <t>อัตราเงินประกันผลงาน(%)</t>
  </si>
  <si>
    <t xml:space="preserve"> -205-</t>
  </si>
  <si>
    <t>ดอกเบี้ยเงินฝากประจำ 12 เดือน สำหรับนิติบุคคล</t>
  </si>
  <si>
    <t xml:space="preserve">  % (ยกเลิก)</t>
  </si>
  <si>
    <t>ระยะเวลาการเบิกจ่ายค่างาน</t>
  </si>
  <si>
    <t xml:space="preserve">  เดือน (ยกเลิก)</t>
  </si>
  <si>
    <t>กำไรปกติ</t>
  </si>
  <si>
    <t>กำไรเชิงธุรกิจ</t>
  </si>
  <si>
    <t>รวมกำไร</t>
  </si>
  <si>
    <t xml:space="preserve"> -206-</t>
  </si>
  <si>
    <t>ภาษี</t>
  </si>
  <si>
    <r>
      <t xml:space="preserve">      การคิดค่าภาษี     ให้ใช้อัตราภาษีมูลค่าเพิ่ม      โดยปัจจุบัน </t>
    </r>
    <r>
      <rPr>
        <b/>
        <sz val="14"/>
        <rFont val="Cordia New"/>
        <family val="2"/>
      </rPr>
      <t xml:space="preserve">คิดในอัตราร้อยละ 7 </t>
    </r>
    <r>
      <rPr>
        <sz val="14"/>
        <rFont val="Cordia New"/>
        <family val="2"/>
      </rPr>
      <t xml:space="preserve">   และให้
</t>
    </r>
  </si>
  <si>
    <t xml:space="preserve">กระทรวงการคลัง (กรมบัญชีกลาง)     มีอำนาจหน้าที่ประกาศเปลี่ยนแปลงอัตราภาษีมูลค่าเพิ่ม </t>
  </si>
  <si>
    <t>เมื่อมีพระราชกฤษฎีกาเปลี่ยนแปลงอัตราภาษีมูลค่าเพิ่ม</t>
  </si>
  <si>
    <t>ผู้อำนวยการสำนักสถาปัตยกรรม</t>
  </si>
  <si>
    <t>ข้อ  1.1</t>
  </si>
  <si>
    <t>หมวดค่าใช้จ่ายในขั้นตอนการประกวดราคาและทำสัญญา</t>
  </si>
  <si>
    <t xml:space="preserve"> -158-</t>
  </si>
  <si>
    <t>ค่าธรรมเนียมค้ำประกันสัญญาจ้าง</t>
  </si>
  <si>
    <t>คิดเป็นร้อยละของค่างาน</t>
  </si>
  <si>
    <t xml:space="preserve">          ระยะเวลา</t>
  </si>
  <si>
    <t xml:space="preserve">     เดือน</t>
  </si>
  <si>
    <t xml:space="preserve">     วงเงินค้ำประกัน</t>
  </si>
  <si>
    <t>% ของค่างาน</t>
  </si>
  <si>
    <t xml:space="preserve"> /</t>
  </si>
  <si>
    <t xml:space="preserve"> =</t>
  </si>
  <si>
    <t xml:space="preserve">          ค่าธรรมเนียม</t>
  </si>
  <si>
    <t>% ของวงเงินค้ำประกัน</t>
  </si>
  <si>
    <t>x</t>
  </si>
  <si>
    <t>วงเงิน</t>
  </si>
  <si>
    <t>=</t>
  </si>
  <si>
    <t>แผ่นที่  1/46</t>
  </si>
  <si>
    <t xml:space="preserve"> -159-</t>
  </si>
  <si>
    <t>ค่าธรรมเนียมในการรับผิดชอบผลงานระยะเวลาก่อสร้าง  2  ปี</t>
  </si>
  <si>
    <t xml:space="preserve">         เดือน</t>
  </si>
  <si>
    <t xml:space="preserve">          วงเงินค้ำประกัน</t>
  </si>
  <si>
    <t xml:space="preserve">        % ของค่างาน</t>
  </si>
  <si>
    <t xml:space="preserve">        % ต่อปี</t>
  </si>
  <si>
    <t xml:space="preserve">          หมายเหตุ  ค่าธรรมเนียมในการรับผิดชอบผลงานระยะเวลาก่อสร้าง  2  ปี   คิดเป็นร้อยละเท่ากันของค่างานตามจำนวนทั้งหมดคือที่ 24 เดือน</t>
  </si>
  <si>
    <t>ค่าอากรติดสัญญา</t>
  </si>
  <si>
    <t>ค่าอากรติดสัญญาของค่าก่อสร้างตามสัญญาจ้างคิดเป็นร้อยละ</t>
  </si>
  <si>
    <t>ค่าสมทบกองทุนเงินทดแทนและค่ากองทุนประกันสังคม</t>
  </si>
  <si>
    <t>1.1.4.1</t>
  </si>
  <si>
    <t xml:space="preserve">ค่าสมทบกองทุนเงินทดแทน  คิดเป็นอัตรา  </t>
  </si>
  <si>
    <t>ของค่าแรงงาน</t>
  </si>
  <si>
    <t>ค่าแรงงานคิดที่</t>
  </si>
  <si>
    <t>ของค่างาน (ทุน)</t>
  </si>
  <si>
    <t>เพราะฉนั้นค่ากองทุนเงินทดแทน              =</t>
  </si>
  <si>
    <t>1.1.4.2</t>
  </si>
  <si>
    <t xml:space="preserve">ค่ากองทุนประกันสังคม คิดเป็นอัตรา  </t>
  </si>
  <si>
    <t>แผ่นที่  2/46</t>
  </si>
  <si>
    <t xml:space="preserve"> -160-</t>
  </si>
  <si>
    <t>ข้อ  1.2</t>
  </si>
  <si>
    <t>หมวดค่าใช้จ่าย สำนักงาน,ที่พักคนงานและโรงงาน ฯลฯ</t>
  </si>
  <si>
    <t>ค่าใช้จ่ายในการพิมพ์แบบเพื่อใช้ในการก่อสร้างเพิ่มเติม,จัดทำ SHOP DRAWING และ AS-BUILT DRAWING</t>
  </si>
  <si>
    <t>1.2.1.1</t>
  </si>
  <si>
    <t xml:space="preserve">  งานโครงสร้าง</t>
  </si>
  <si>
    <t xml:space="preserve">        บาท / เดือน</t>
  </si>
  <si>
    <t xml:space="preserve">  งานระบบทั้งหมด</t>
  </si>
  <si>
    <t xml:space="preserve">                             รวม</t>
  </si>
  <si>
    <t>คิด 20 เปอร์เซ็นของโครงการ</t>
  </si>
  <si>
    <t xml:space="preserve">         บาท / เดือน</t>
  </si>
  <si>
    <t xml:space="preserve">       เดือน</t>
  </si>
  <si>
    <t xml:space="preserve">  x    100 </t>
  </si>
  <si>
    <t xml:space="preserve">                ค่าเฉลี่ย</t>
  </si>
  <si>
    <t>1.2.1.2</t>
  </si>
  <si>
    <t xml:space="preserve">  งานโครงสร้าง         </t>
  </si>
  <si>
    <t xml:space="preserve">  งานระบบสุขาภิบาล</t>
  </si>
  <si>
    <t xml:space="preserve">  งานระบบไฟฟ้าฯ     </t>
  </si>
  <si>
    <t xml:space="preserve">  งานระบบปรับอากาศ</t>
  </si>
  <si>
    <t>แผ่นที่  3/46</t>
  </si>
  <si>
    <t xml:space="preserve"> -161-</t>
  </si>
  <si>
    <t>1.2.1.3</t>
  </si>
  <si>
    <t>คิด 25 เปอร์เซ็นของโครงการ</t>
  </si>
  <si>
    <t>1.2.1.4</t>
  </si>
  <si>
    <t xml:space="preserve">          เงื่อนไขค่างานตั้งแต่  50,000,001 - 80,000,000  บาท </t>
  </si>
  <si>
    <t>แผ่นที่  4/46</t>
  </si>
  <si>
    <t xml:space="preserve"> -162-</t>
  </si>
  <si>
    <t>1.2.1.5</t>
  </si>
  <si>
    <t>คิด 30 เปอร์เซ็นของโครงการ</t>
  </si>
  <si>
    <t>1.2.1.6</t>
  </si>
  <si>
    <t xml:space="preserve">  งานระบบอื่นๆ</t>
  </si>
  <si>
    <t>แผ่นที่  5/46</t>
  </si>
  <si>
    <t xml:space="preserve"> -163-</t>
  </si>
  <si>
    <t>1.2.1.7</t>
  </si>
  <si>
    <t>คิด 40 เปอร์เซ็นของโครงการ</t>
  </si>
  <si>
    <t>ข้อ 1.2.1  ค่าใช้จ่ายในการพิมพ์แบบเพื่อใช้ในการก่อสร้างเพิ่มเติม,จัดทำ SHOP DRAWING และ AS-BUILT DRAWING</t>
  </si>
  <si>
    <t>ค่างาน</t>
  </si>
  <si>
    <t xml:space="preserve">                                      500,000    -         10,000,000</t>
  </si>
  <si>
    <t xml:space="preserve">                                 10,000,001    -         30,000,000</t>
  </si>
  <si>
    <t xml:space="preserve">                                 30,000,001    -         50,000,000</t>
  </si>
  <si>
    <t xml:space="preserve">                                 50,000,001    -         80,000,000</t>
  </si>
  <si>
    <t>งานอาคาร</t>
  </si>
  <si>
    <t xml:space="preserve">      ใช้สัญญาแบบปรับราคา สูตรที่  1</t>
  </si>
  <si>
    <t>หมวดงานก่อสร้าง</t>
  </si>
  <si>
    <r>
      <t xml:space="preserve">สถานที่ก่อสร้าง    </t>
    </r>
    <r>
      <rPr>
        <sz val="13"/>
        <rFont val="TH SarabunPSK"/>
        <family val="2"/>
      </rPr>
      <t xml:space="preserve">มหาวิทยาลัยเทคโนโลยีราชมงคลกรุงเทพ </t>
    </r>
  </si>
  <si>
    <r>
      <t xml:space="preserve">แบบเลขที่  </t>
    </r>
    <r>
      <rPr>
        <sz val="13"/>
        <rFont val="TH SarabunPSK"/>
        <family val="2"/>
      </rPr>
      <t xml:space="preserve"> </t>
    </r>
  </si>
  <si>
    <r>
      <t xml:space="preserve">ประมาณการโดย  </t>
    </r>
    <r>
      <rPr>
        <sz val="13"/>
        <rFont val="TH SarabunPSK"/>
        <family val="2"/>
      </rPr>
      <t>คณะกรรมการกำหนดราคากลาง</t>
    </r>
  </si>
  <si>
    <t xml:space="preserve">หมวดงานรื้อถอน </t>
  </si>
  <si>
    <t>รวมราคางานรื้อหลังคา</t>
  </si>
  <si>
    <t>งานวัสดุมุงหลังคา</t>
  </si>
  <si>
    <t>R</t>
  </si>
  <si>
    <t>แบบ ปร.6 แผ่นที่ 1/1</t>
  </si>
  <si>
    <t>แบบสรุปราคากลางงานก่อสร้างอาคาร</t>
  </si>
  <si>
    <t xml:space="preserve">ชื่อโครงการ/งานก่อสร้าง </t>
  </si>
  <si>
    <t>สถานที่ก่อสร้าง</t>
  </si>
  <si>
    <t xml:space="preserve">มหาวิทยาลัยเทคโนโลยีราชมงคลกรุงเทพ </t>
  </si>
  <si>
    <t>หน่วยงานเจ้าของโครงการ/งานก่อสร้าง</t>
  </si>
  <si>
    <t xml:space="preserve">แบบ ปร.4 และ ปร.5 ที่แนบ มีจำนวน </t>
  </si>
  <si>
    <t>ชุด</t>
  </si>
  <si>
    <r>
      <t xml:space="preserve">คำนวณราคากลาง เมื่อวันที่    </t>
    </r>
  </si>
  <si>
    <t>หน่วย : บาท</t>
  </si>
  <si>
    <t>รวมค่าก่อสร้าง</t>
  </si>
  <si>
    <r>
      <rPr>
        <b/>
        <sz val="16"/>
        <color indexed="8"/>
        <rFont val="Symbol"/>
        <family val="1"/>
      </rPr>
      <t>\</t>
    </r>
    <r>
      <rPr>
        <b/>
        <sz val="16"/>
        <color indexed="8"/>
        <rFont val="TH SarabunPSK"/>
        <family val="2"/>
      </rPr>
      <t xml:space="preserve"> รวมราคาค่าก่อสร้างทั้งโครงการเป็นเงินทั้งสิ้น</t>
    </r>
  </si>
  <si>
    <t>A-01 ถึง A-28</t>
  </si>
  <si>
    <t>เมตร</t>
  </si>
  <si>
    <t>กก.</t>
  </si>
  <si>
    <t>ตัว</t>
  </si>
  <si>
    <t>ม.</t>
  </si>
  <si>
    <t>3.2 สกัดเหล็กเดิม</t>
  </si>
  <si>
    <t>3.3 Non Shink 800 ksc</t>
  </si>
  <si>
    <t>3.4 DB 20 mm. SD40</t>
  </si>
  <si>
    <t>3.5 DB 12 mm. SD40</t>
  </si>
  <si>
    <t>3.6 ไม้แบบ</t>
  </si>
  <si>
    <t>3.7 ตะปู</t>
  </si>
  <si>
    <t>3.8 ลวดผูกเหล็ก</t>
  </si>
  <si>
    <t>รวมราคางานหลังคา</t>
  </si>
  <si>
    <t>รวมราคางานซ่อมแซมเสา</t>
  </si>
  <si>
    <t>เหมา</t>
  </si>
  <si>
    <t>รื้อขนไป</t>
  </si>
  <si>
    <t>3.9 งานค้ำยันโครงสร้างชั่วคราว</t>
  </si>
  <si>
    <t>3.1 ทุบรื้อคอนกรีตเดิม (แบบปราณีตเพื่อซ่อมแซม)</t>
  </si>
  <si>
    <t>3.10 งานฝ้าเพดานทีบาร์หนา 9 มม.ขนาด 1.20x 0.60 ม.</t>
  </si>
  <si>
    <t>3.11 งานทาสีฝ้าเพดาน</t>
  </si>
  <si>
    <t>3.12 งานซ่อมแซมผนังเดิม</t>
  </si>
  <si>
    <t>3.13 งานไฟฟ้า (ถอดและติดตั้งใหม่ใช้ของเดิมเป็นหลัก)</t>
  </si>
  <si>
    <t>3.14 งานรื้อถอนประตู หน้าต่างเดิมพร้อมซ่อมแซม</t>
  </si>
  <si>
    <t>3.15 ประตูเหล็กม้วน</t>
  </si>
  <si>
    <t>3.16 ประตูหน้าต่างติดตั้งใหม่แบบเดิม</t>
  </si>
  <si>
    <t xml:space="preserve">       (เฉพาะบริเวณพื้นที่โซนซ่อมแซมเสา)</t>
  </si>
  <si>
    <t>งานรื้อถอน</t>
  </si>
  <si>
    <t>2.1.1 กระเบื้องหลังคาเหล็กเมทัลชีท (Metal sheet)</t>
  </si>
  <si>
    <t>2.1.2 กระเบื้องหลังคาเหล็กเมทัลชีทสีขาวขุ่น</t>
  </si>
  <si>
    <t>2.1.3 ครอบสันหลังคา</t>
  </si>
  <si>
    <t>2.1.4 ครอบข้างหลังคา</t>
  </si>
  <si>
    <t>2.1.5 L75x75x9 mm.</t>
  </si>
  <si>
    <t>2.1.6 L50x50x6 mm.</t>
  </si>
  <si>
    <t>2.1.7 C100 x 50 x 4.5 mm.</t>
  </si>
  <si>
    <t>2.1.8 ST Plate 300 x 400 x 12 mm.</t>
  </si>
  <si>
    <t>2.1.9 หูช้าง</t>
  </si>
  <si>
    <t>2.1.10 Chemical Bolts M12</t>
  </si>
  <si>
    <t>2.1.11 Chemical Bolts M16</t>
  </si>
  <si>
    <t>2.1.12 Non-Shrink</t>
  </si>
  <si>
    <t>2.1.13 สีกันสนิม + สีน้ำมัน</t>
  </si>
  <si>
    <t>2.1.14 ฉนวนกันความร้อนชนิด PE-Foam 5 mm.+Foil 1 ด้าน</t>
  </si>
  <si>
    <t xml:space="preserve">2.1.15 สีน้ำ (Pure acrylic) ทั้งอาคารภายใน </t>
  </si>
  <si>
    <t>2.1.16 สีน้ำมัน</t>
  </si>
  <si>
    <t>หมวดงานซ่อมแซม</t>
  </si>
  <si>
    <r>
      <t xml:space="preserve">ประมาณราคาค่าก่อสร้าง   </t>
    </r>
    <r>
      <rPr>
        <sz val="13"/>
        <rFont val="TH SarabunPSK"/>
        <family val="2"/>
      </rPr>
      <t xml:space="preserve">โครงการปรับปรุงอาคาร 19 </t>
    </r>
  </si>
  <si>
    <t>โครงการปรับปรุงอาคาร 19</t>
  </si>
  <si>
    <t>1.1.1 รื้อถอนกระเบื้องหลังคาเดิม</t>
  </si>
  <si>
    <t>1.1.2 รื้อถอนรางน้ำเดิม</t>
  </si>
  <si>
    <t>1.1.3 นั่งร้านชั่วคราวงานหลังคา</t>
  </si>
  <si>
    <t>1.1.4 รื้อถอนฝ้าเพดาน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</si>
</sst>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_-;\-* #,##0.00_-;_-* &quot;-&quot;_-;_-@_-"/>
    <numFmt numFmtId="177" formatCode="_-* #,##0.0000_-;\-* #,##0.0000_-;_-* &quot;-&quot;_-;_-@_-"/>
    <numFmt numFmtId="178" formatCode="#,###"/>
    <numFmt numFmtId="179" formatCode="#,###&quot;  &quot;"/>
    <numFmt numFmtId="180" formatCode="0.0000"/>
    <numFmt numFmtId="181" formatCode="_-* #,##0_-;\-* #,##0_-;_-* &quot;-&quot;??_-;_-@_-"/>
    <numFmt numFmtId="182" formatCode="_-* #,##0.0000_-;\-* #,##0.0000_-;_-* &quot;-&quot;??_-;_-@_-"/>
    <numFmt numFmtId="183" formatCode="_-* #,##0.00_-;\-* #,##0.00_-;_-* &quot;-&quot;??????_-;_-@_-"/>
    <numFmt numFmtId="184" formatCode="[$-107041E]&quot;แบ่งงวดเมื่อวันที่&quot;\ d\ \ \ &quot;เดือน  &quot;\ mmmm\ &quot;พ.ศ. &quot;yyyy;@"/>
    <numFmt numFmtId="185" formatCode="General_)"/>
    <numFmt numFmtId="186" formatCode="#,##0.000000&quot; &quot;"/>
    <numFmt numFmtId="187" formatCode="dd\-mm\-yy"/>
    <numFmt numFmtId="188" formatCode="#,###&quot;   &quot;"/>
    <numFmt numFmtId="189" formatCode="&quot;฿&quot;\t#,##0_);\(&quot;฿&quot;\t#,##0\)"/>
    <numFmt numFmtId="190" formatCode="\t0.00E+00"/>
    <numFmt numFmtId="191" formatCode="#,##0.0_);\(#,##0.0\)"/>
    <numFmt numFmtId="192" formatCode="_(&quot;$&quot;* #,##0.000_);_(&quot;$&quot;* \(#,##0.000\);_(&quot;$&quot;* &quot;-&quot;??_);_(@_)"/>
    <numFmt numFmtId="193" formatCode="0.0&quot;  &quot;"/>
    <numFmt numFmtId="194" formatCode="_-* #,##0.00000_-;\-* #,##0.00000_-;_-* &quot;-&quot;?????_-;_-@_-"/>
    <numFmt numFmtId="195" formatCode="m/d/yy\ hh:mm"/>
    <numFmt numFmtId="196" formatCode="_(&quot;$&quot;* #,##0.0000_);_(&quot;$&quot;* \(#,##0.0000\);_(&quot;$&quot;* &quot;-&quot;??_);_(@_)"/>
    <numFmt numFmtId="197" formatCode="0.00\ &quot;%&quot;"/>
    <numFmt numFmtId="198" formatCode="0.0"/>
    <numFmt numFmtId="199" formatCode="_-* #,##0.0_-;\-* #,##0.0_-;_-* &quot;-&quot;??_-;_-@_-"/>
    <numFmt numFmtId="200" formatCode="0.00000"/>
    <numFmt numFmtId="201" formatCode="_-* #,##0.00000_-;\-* #,##0.00000_-;_-* &quot;-&quot;??_-;_-@_-"/>
    <numFmt numFmtId="202" formatCode="_-* #,##0.000000_-;\-* #,##0.000000_-;_-* &quot;-&quot;??_-;_-@_-"/>
    <numFmt numFmtId="203" formatCode="_-* #,##0.0000_-;\-* #,##0.0000_-;_-* &quot;-&quot;??????_-;_-@_-"/>
    <numFmt numFmtId="204" formatCode="_-* #,##0.000_-;\-* #,##0.000_-;_-* &quot;-&quot;??_-;_-@_-"/>
    <numFmt numFmtId="205" formatCode="_-* #,##0_-;\-* #,##0_-;_-* &quot;-&quot;??????_-;_-@_-"/>
    <numFmt numFmtId="206" formatCode="0.000000"/>
    <numFmt numFmtId="207" formatCode="#,##0.00_ ;\-#,##0.00\ "/>
    <numFmt numFmtId="208" formatCode="[$-D07041E]\t#,##0.00"/>
    <numFmt numFmtId="209" formatCode="#,##0.0"/>
    <numFmt numFmtId="210" formatCode="\ว\ว/\ด\ด/\ป\ป"/>
    <numFmt numFmtId="211" formatCode="#,##0\ &quot;F&quot;;[Red]\-#,##0\ &quot;F&quot;"/>
    <numFmt numFmtId="212" formatCode="#,##0.0000"/>
    <numFmt numFmtId="213" formatCode="#,##0.00;[Red]#,##0.00"/>
    <numFmt numFmtId="214" formatCode="0.00;[Red]0.00"/>
  </numFmts>
  <fonts count="156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2"/>
    </font>
    <font>
      <sz val="12"/>
      <name val="Cordia New"/>
      <family val="2"/>
    </font>
    <font>
      <vertAlign val="subscript"/>
      <sz val="14"/>
      <name val="Cordia New"/>
      <family val="2"/>
    </font>
    <font>
      <b/>
      <sz val="16"/>
      <name val="Cordia New"/>
      <family val="2"/>
    </font>
    <font>
      <sz val="13"/>
      <name val="Cordia New"/>
      <family val="2"/>
    </font>
    <font>
      <b/>
      <sz val="14"/>
      <name val="Symbol"/>
      <family val="1"/>
    </font>
    <font>
      <sz val="14"/>
      <name val="EucrosiaUPC"/>
      <family val="1"/>
    </font>
    <font>
      <b/>
      <sz val="16"/>
      <name val="EucrosiaUPC"/>
      <family val="1"/>
    </font>
    <font>
      <u val="single"/>
      <sz val="16.8"/>
      <color indexed="12"/>
      <name val="Cordia New"/>
      <family val="2"/>
    </font>
    <font>
      <u val="single"/>
      <sz val="16.8"/>
      <color indexed="36"/>
      <name val="Cordia New"/>
      <family val="2"/>
    </font>
    <font>
      <sz val="16"/>
      <name val="Cordia New"/>
      <family val="2"/>
    </font>
    <font>
      <u val="single"/>
      <sz val="14"/>
      <name val="Cordia New"/>
      <family val="2"/>
    </font>
    <font>
      <sz val="10"/>
      <name val="Cordia New"/>
      <family val="2"/>
    </font>
    <font>
      <b/>
      <sz val="18"/>
      <name val="Cordia New"/>
      <family val="2"/>
    </font>
    <font>
      <vertAlign val="subscript"/>
      <sz val="16"/>
      <name val="Cordia New"/>
      <family val="2"/>
    </font>
    <font>
      <b/>
      <u val="single"/>
      <sz val="16"/>
      <name val="Cordia New"/>
      <family val="2"/>
    </font>
    <font>
      <vertAlign val="subscript"/>
      <sz val="18"/>
      <name val="Cordia New"/>
      <family val="2"/>
    </font>
    <font>
      <sz val="18"/>
      <name val="Cordia New"/>
      <family val="2"/>
    </font>
    <font>
      <b/>
      <sz val="15"/>
      <name val="EucrosiaUPC"/>
      <family val="1"/>
    </font>
    <font>
      <b/>
      <sz val="15"/>
      <color indexed="10"/>
      <name val="EucrosiaUPC"/>
      <family val="1"/>
    </font>
    <font>
      <b/>
      <sz val="16"/>
      <color indexed="62"/>
      <name val="EucrosiaUPC"/>
      <family val="1"/>
    </font>
    <font>
      <b/>
      <sz val="13"/>
      <name val="EucrosiaUPC"/>
      <family val="1"/>
    </font>
    <font>
      <sz val="13"/>
      <name val="EucrosiaUPC"/>
      <family val="1"/>
    </font>
    <font>
      <b/>
      <sz val="18"/>
      <color indexed="18"/>
      <name val="IrisUPC"/>
      <family val="2"/>
    </font>
    <font>
      <sz val="15"/>
      <name val="Cordia New"/>
      <family val="2"/>
    </font>
    <font>
      <b/>
      <sz val="12"/>
      <name val="IrisUPC"/>
      <family val="2"/>
    </font>
    <font>
      <b/>
      <sz val="16"/>
      <color indexed="18"/>
      <name val="EucrosiaUPC"/>
      <family val="1"/>
    </font>
    <font>
      <sz val="16"/>
      <color indexed="18"/>
      <name val="Eucrosi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2"/>
      <color indexed="12"/>
      <name val="AngsanaUPC"/>
      <family val="1"/>
    </font>
    <font>
      <sz val="14"/>
      <color indexed="12"/>
      <name val="Cordia New"/>
      <family val="2"/>
    </font>
    <font>
      <b/>
      <sz val="13"/>
      <color indexed="12"/>
      <name val="AngsanaUPC"/>
      <family val="1"/>
    </font>
    <font>
      <b/>
      <sz val="12"/>
      <name val="AngsanaUPC"/>
      <family val="1"/>
    </font>
    <font>
      <b/>
      <sz val="17"/>
      <color indexed="18"/>
      <name val="IrisUPC"/>
      <family val="2"/>
    </font>
    <font>
      <b/>
      <sz val="12"/>
      <name val="Cordia New"/>
      <family val="2"/>
    </font>
    <font>
      <b/>
      <sz val="26"/>
      <name val="IrisUPC"/>
      <family val="2"/>
    </font>
    <font>
      <b/>
      <sz val="16"/>
      <color indexed="16"/>
      <name val="EucrosiaUPC"/>
      <family val="1"/>
    </font>
    <font>
      <b/>
      <sz val="17"/>
      <name val="EucrosiaUPC"/>
      <family val="1"/>
    </font>
    <font>
      <b/>
      <sz val="15"/>
      <name val="Cordia New"/>
      <family val="2"/>
    </font>
    <font>
      <b/>
      <sz val="13"/>
      <name val="Cordia New"/>
      <family val="2"/>
    </font>
    <font>
      <b/>
      <sz val="22"/>
      <name val="Cordia New"/>
      <family val="2"/>
    </font>
    <font>
      <b/>
      <sz val="36"/>
      <name val="Cordia New"/>
      <family val="2"/>
    </font>
    <font>
      <sz val="36"/>
      <name val="Cordia New"/>
      <family val="2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sz val="10"/>
      <name val="Arial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b/>
      <sz val="16"/>
      <color indexed="61"/>
      <name val="AngsanaUPC"/>
      <family val="1"/>
    </font>
    <font>
      <sz val="16"/>
      <color indexed="61"/>
      <name val="AngsanaUPC"/>
      <family val="1"/>
    </font>
    <font>
      <b/>
      <sz val="14"/>
      <color indexed="61"/>
      <name val="AngsanaUPC"/>
      <family val="1"/>
    </font>
    <font>
      <sz val="14"/>
      <color indexed="61"/>
      <name val="AngsanaUPC"/>
      <family val="1"/>
    </font>
    <font>
      <u val="single"/>
      <sz val="14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4"/>
      <color indexed="10"/>
      <name val="AngsanaUPC"/>
      <family val="1"/>
    </font>
    <font>
      <sz val="15"/>
      <name val="AngsanaUPC"/>
      <family val="1"/>
    </font>
    <font>
      <sz val="12"/>
      <color indexed="61"/>
      <name val="AngsanaUPC"/>
      <family val="1"/>
    </font>
    <font>
      <b/>
      <u val="single"/>
      <sz val="14"/>
      <name val="AngsanaUPC"/>
      <family val="1"/>
    </font>
    <font>
      <sz val="14"/>
      <color indexed="14"/>
      <name val="AngsanaUPC"/>
      <family val="1"/>
    </font>
    <font>
      <sz val="14"/>
      <color indexed="18"/>
      <name val="AngsanaUPC"/>
      <family val="1"/>
    </font>
    <font>
      <b/>
      <sz val="14"/>
      <color indexed="18"/>
      <name val="AngsanaUPC"/>
      <family val="1"/>
    </font>
    <font>
      <u val="single"/>
      <sz val="14"/>
      <color indexed="18"/>
      <name val="AngsanaUPC"/>
      <family val="1"/>
    </font>
    <font>
      <sz val="12"/>
      <color indexed="18"/>
      <name val="AngsanaUPC"/>
      <family val="1"/>
    </font>
    <font>
      <u val="single"/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Cordia New"/>
      <family val="2"/>
    </font>
    <font>
      <sz val="16"/>
      <color indexed="61"/>
      <name val="Cordia New"/>
      <family val="2"/>
    </font>
    <font>
      <sz val="14"/>
      <color indexed="18"/>
      <name val="Cordia New"/>
      <family val="2"/>
    </font>
    <font>
      <sz val="14"/>
      <color indexed="12"/>
      <name val="Angsana New"/>
      <family val="1"/>
    </font>
    <font>
      <sz val="14"/>
      <color indexed="18"/>
      <name val="Angsana New"/>
      <family val="1"/>
    </font>
    <font>
      <b/>
      <sz val="14"/>
      <color indexed="10"/>
      <name val="Angsana New"/>
      <family val="1"/>
    </font>
    <font>
      <b/>
      <sz val="14"/>
      <color indexed="61"/>
      <name val="Cordia New"/>
      <family val="2"/>
    </font>
    <font>
      <sz val="12"/>
      <name val="Angsana New"/>
      <family val="1"/>
    </font>
    <font>
      <sz val="14"/>
      <name val="Wingdings 2"/>
      <family val="1"/>
    </font>
    <font>
      <sz val="10"/>
      <name val="Wingdings 2"/>
      <family val="1"/>
    </font>
    <font>
      <sz val="16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vertAlign val="subscript"/>
      <sz val="14"/>
      <name val="TH SarabunPSK"/>
      <family val="2"/>
    </font>
    <font>
      <sz val="13"/>
      <color indexed="8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tted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 vertical="center"/>
      <protection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" fontId="50" fillId="0" borderId="0" applyFont="0" applyFill="0" applyBorder="0" applyAlignment="0" applyProtection="0"/>
    <xf numFmtId="189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88" fontId="34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9" fontId="55" fillId="2" borderId="0">
      <alignment/>
      <protection/>
    </xf>
    <xf numFmtId="0" fontId="130" fillId="3" borderId="0" applyNumberFormat="0" applyBorder="0" applyAlignment="0" applyProtection="0"/>
    <xf numFmtId="0" fontId="130" fillId="4" borderId="0" applyNumberFormat="0" applyBorder="0" applyAlignment="0" applyProtection="0"/>
    <xf numFmtId="0" fontId="130" fillId="5" borderId="0" applyNumberFormat="0" applyBorder="0" applyAlignment="0" applyProtection="0"/>
    <xf numFmtId="0" fontId="130" fillId="6" borderId="0" applyNumberFormat="0" applyBorder="0" applyAlignment="0" applyProtection="0"/>
    <xf numFmtId="0" fontId="130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9" borderId="0" applyNumberFormat="0" applyBorder="0" applyAlignment="0" applyProtection="0"/>
    <xf numFmtId="0" fontId="130" fillId="10" borderId="0" applyNumberFormat="0" applyBorder="0" applyAlignment="0" applyProtection="0"/>
    <xf numFmtId="0" fontId="130" fillId="11" borderId="0" applyNumberFormat="0" applyBorder="0" applyAlignment="0" applyProtection="0"/>
    <xf numFmtId="0" fontId="130" fillId="12" borderId="0" applyNumberFormat="0" applyBorder="0" applyAlignment="0" applyProtection="0"/>
    <xf numFmtId="0" fontId="130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56" fillId="21" borderId="1">
      <alignment horizontal="centerContinuous" vertical="top"/>
      <protection/>
    </xf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1" fillId="26" borderId="0" applyNumberFormat="0" applyBorder="0" applyAlignment="0" applyProtection="0"/>
    <xf numFmtId="0" fontId="131" fillId="27" borderId="0" applyNumberFormat="0" applyBorder="0" applyAlignment="0" applyProtection="0"/>
    <xf numFmtId="0" fontId="132" fillId="28" borderId="0" applyNumberFormat="0" applyBorder="0" applyAlignment="0" applyProtection="0"/>
    <xf numFmtId="0" fontId="55" fillId="0" borderId="0" applyFill="0" applyBorder="0" applyAlignment="0">
      <protection/>
    </xf>
    <xf numFmtId="191" fontId="50" fillId="0" borderId="0" applyFill="0" applyBorder="0" applyAlignment="0">
      <protection/>
    </xf>
    <xf numFmtId="0" fontId="57" fillId="0" borderId="0" applyFill="0" applyBorder="0" applyAlignment="0">
      <protection/>
    </xf>
    <xf numFmtId="0" fontId="58" fillId="0" borderId="0" applyFill="0" applyBorder="0" applyAlignment="0">
      <protection/>
    </xf>
    <xf numFmtId="0" fontId="58" fillId="0" borderId="0" applyFill="0" applyBorder="0" applyAlignment="0">
      <protection/>
    </xf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3" fontId="51" fillId="0" borderId="0" applyFill="0" applyBorder="0" applyAlignment="0">
      <protection/>
    </xf>
    <xf numFmtId="193" fontId="51" fillId="0" borderId="0" applyFill="0" applyBorder="0" applyAlignment="0">
      <protection/>
    </xf>
    <xf numFmtId="191" fontId="50" fillId="0" borderId="0" applyFill="0" applyBorder="0" applyAlignment="0">
      <protection/>
    </xf>
    <xf numFmtId="0" fontId="133" fillId="29" borderId="2" applyNumberFormat="0" applyAlignment="0" applyProtection="0"/>
    <xf numFmtId="0" fontId="134" fillId="3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34" fillId="0" borderId="0" applyFont="0" applyFill="0" applyBorder="0" applyAlignment="0" applyProtection="0"/>
    <xf numFmtId="210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0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1" borderId="1">
      <alignment horizontal="centerContinuous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50" fillId="0" borderId="0" applyFont="0" applyFill="0" applyBorder="0" applyAlignment="0" applyProtection="0"/>
    <xf numFmtId="14" fontId="59" fillId="0" borderId="0" applyFill="0" applyBorder="0" applyAlignment="0">
      <protection/>
    </xf>
    <xf numFmtId="15" fontId="30" fillId="31" borderId="0">
      <alignment horizontal="centerContinuous"/>
      <protection/>
    </xf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1" fontId="50" fillId="0" borderId="0" applyFill="0" applyBorder="0" applyAlignment="0">
      <protection/>
    </xf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3" fontId="51" fillId="0" borderId="0" applyFill="0" applyBorder="0" applyAlignment="0">
      <protection/>
    </xf>
    <xf numFmtId="193" fontId="51" fillId="0" borderId="0" applyFill="0" applyBorder="0" applyAlignment="0">
      <protection/>
    </xf>
    <xf numFmtId="191" fontId="50" fillId="0" borderId="0" applyFill="0" applyBorder="0" applyAlignment="0">
      <protection/>
    </xf>
    <xf numFmtId="0" fontId="1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6" fillId="32" borderId="0" applyNumberFormat="0" applyBorder="0" applyAlignment="0" applyProtection="0"/>
    <xf numFmtId="38" fontId="60" fillId="21" borderId="0" applyNumberFormat="0" applyBorder="0" applyAlignment="0" applyProtection="0"/>
    <xf numFmtId="0" fontId="61" fillId="0" borderId="4" applyNumberFormat="0" applyAlignment="0" applyProtection="0"/>
    <xf numFmtId="0" fontId="61" fillId="0" borderId="5">
      <alignment horizontal="left" vertical="center"/>
      <protection/>
    </xf>
    <xf numFmtId="0" fontId="137" fillId="0" borderId="6" applyNumberFormat="0" applyFill="0" applyAlignment="0" applyProtection="0"/>
    <xf numFmtId="0" fontId="138" fillId="0" borderId="7" applyNumberFormat="0" applyFill="0" applyAlignment="0" applyProtection="0"/>
    <xf numFmtId="0" fontId="139" fillId="0" borderId="8" applyNumberFormat="0" applyFill="0" applyAlignment="0" applyProtection="0"/>
    <xf numFmtId="0" fontId="1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0" fillId="33" borderId="2" applyNumberFormat="0" applyAlignment="0" applyProtection="0"/>
    <xf numFmtId="10" fontId="60" fillId="34" borderId="9" applyNumberFormat="0" applyBorder="0" applyAlignment="0" applyProtection="0"/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1" fontId="50" fillId="0" borderId="0" applyFill="0" applyBorder="0" applyAlignment="0">
      <protection/>
    </xf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3" fontId="51" fillId="0" borderId="0" applyFill="0" applyBorder="0" applyAlignment="0">
      <protection/>
    </xf>
    <xf numFmtId="193" fontId="51" fillId="0" borderId="0" applyFill="0" applyBorder="0" applyAlignment="0">
      <protection/>
    </xf>
    <xf numFmtId="191" fontId="50" fillId="0" borderId="0" applyFill="0" applyBorder="0" applyAlignment="0">
      <protection/>
    </xf>
    <xf numFmtId="0" fontId="141" fillId="0" borderId="10" applyNumberFormat="0" applyFill="0" applyAlignment="0" applyProtection="0"/>
    <xf numFmtId="0" fontId="142" fillId="35" borderId="0" applyNumberFormat="0" applyBorder="0" applyAlignment="0" applyProtection="0"/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211" fontId="57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194" fontId="34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34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0" fillId="36" borderId="11" applyNumberFormat="0" applyFont="0" applyAlignment="0" applyProtection="0"/>
    <xf numFmtId="0" fontId="143" fillId="29" borderId="12" applyNumberFormat="0" applyAlignment="0" applyProtection="0"/>
    <xf numFmtId="0" fontId="0" fillId="0" borderId="0" applyFont="0" applyFill="0" applyBorder="0" applyAlignment="0" applyProtection="0"/>
    <xf numFmtId="192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1" fontId="50" fillId="0" borderId="0" applyFill="0" applyBorder="0" applyAlignment="0">
      <protection/>
    </xf>
    <xf numFmtId="192" fontId="34" fillId="0" borderId="0" applyFill="0" applyBorder="0" applyAlignment="0">
      <protection/>
    </xf>
    <xf numFmtId="210" fontId="51" fillId="0" borderId="0" applyFill="0" applyBorder="0" applyAlignment="0">
      <protection/>
    </xf>
    <xf numFmtId="193" fontId="51" fillId="0" borderId="0" applyFill="0" applyBorder="0" applyAlignment="0">
      <protection/>
    </xf>
    <xf numFmtId="193" fontId="51" fillId="0" borderId="0" applyFill="0" applyBorder="0" applyAlignment="0">
      <protection/>
    </xf>
    <xf numFmtId="191" fontId="50" fillId="0" borderId="0" applyFill="0" applyBorder="0" applyAlignment="0">
      <protection/>
    </xf>
    <xf numFmtId="0" fontId="62" fillId="2" borderId="0">
      <alignment/>
      <protection/>
    </xf>
    <xf numFmtId="49" fontId="59" fillId="0" borderId="0" applyFill="0" applyBorder="0" applyAlignment="0">
      <protection/>
    </xf>
    <xf numFmtId="0" fontId="58" fillId="0" borderId="0" applyFill="0" applyBorder="0" applyAlignment="0">
      <protection/>
    </xf>
    <xf numFmtId="0" fontId="58" fillId="0" borderId="0" applyFill="0" applyBorder="0" applyAlignment="0">
      <protection/>
    </xf>
    <xf numFmtId="0" fontId="144" fillId="0" borderId="0" applyNumberFormat="0" applyFill="0" applyBorder="0" applyAlignment="0" applyProtection="0"/>
    <xf numFmtId="0" fontId="145" fillId="0" borderId="13" applyNumberFormat="0" applyFill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</cellStyleXfs>
  <cellXfs count="920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indent="4"/>
      <protection/>
    </xf>
    <xf numFmtId="169" fontId="0" fillId="0" borderId="16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169" fontId="0" fillId="0" borderId="16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 applyProtection="1">
      <alignment horizontal="left" indent="1"/>
      <protection hidden="1"/>
    </xf>
    <xf numFmtId="0" fontId="1" fillId="0" borderId="14" xfId="0" applyFont="1" applyBorder="1" applyAlignment="1" applyProtection="1">
      <alignment horizontal="center" vertical="top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vertical="top"/>
    </xf>
    <xf numFmtId="169" fontId="0" fillId="0" borderId="15" xfId="0" applyNumberFormat="1" applyBorder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left" indent="4"/>
      <protection locked="0"/>
    </xf>
    <xf numFmtId="49" fontId="14" fillId="0" borderId="0" xfId="0" applyNumberFormat="1" applyFont="1" applyAlignment="1" applyProtection="1">
      <alignment/>
      <protection hidden="1"/>
    </xf>
    <xf numFmtId="0" fontId="14" fillId="0" borderId="23" xfId="0" applyFont="1" applyBorder="1" applyAlignment="1" applyProtection="1">
      <alignment horizontal="right"/>
      <protection locked="0"/>
    </xf>
    <xf numFmtId="0" fontId="14" fillId="0" borderId="23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179" fontId="0" fillId="0" borderId="16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1" fillId="0" borderId="15" xfId="0" applyNumberFormat="1" applyFont="1" applyBorder="1" applyAlignment="1">
      <alignment/>
    </xf>
    <xf numFmtId="179" fontId="0" fillId="0" borderId="16" xfId="0" applyNumberFormat="1" applyBorder="1" applyAlignment="1">
      <alignment/>
    </xf>
    <xf numFmtId="179" fontId="1" fillId="0" borderId="16" xfId="0" applyNumberFormat="1" applyFont="1" applyBorder="1" applyAlignment="1">
      <alignment/>
    </xf>
    <xf numFmtId="179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79" fontId="1" fillId="0" borderId="9" xfId="0" applyNumberFormat="1" applyFont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0" xfId="0" applyNumberFormat="1" applyFont="1" applyAlignment="1">
      <alignment/>
    </xf>
    <xf numFmtId="0" fontId="0" fillId="0" borderId="24" xfId="0" applyBorder="1" applyAlignment="1">
      <alignment vertical="top"/>
    </xf>
    <xf numFmtId="0" fontId="1" fillId="0" borderId="25" xfId="0" applyFont="1" applyBorder="1" applyAlignment="1">
      <alignment vertical="top"/>
    </xf>
    <xf numFmtId="0" fontId="12" fillId="0" borderId="0" xfId="0" applyFont="1" applyBorder="1" applyAlignment="1" applyProtection="1">
      <alignment horizontal="right" vertical="top"/>
      <protection hidden="1"/>
    </xf>
    <xf numFmtId="0" fontId="1" fillId="0" borderId="26" xfId="0" applyFont="1" applyBorder="1" applyAlignment="1">
      <alignment vertical="top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30" fillId="37" borderId="9" xfId="0" applyFont="1" applyFill="1" applyBorder="1" applyAlignment="1">
      <alignment horizontal="center"/>
    </xf>
    <xf numFmtId="0" fontId="31" fillId="38" borderId="15" xfId="0" applyFont="1" applyFill="1" applyBorder="1" applyAlignment="1">
      <alignment horizontal="center"/>
    </xf>
    <xf numFmtId="0" fontId="31" fillId="38" borderId="15" xfId="0" applyFont="1" applyFill="1" applyBorder="1" applyAlignment="1">
      <alignment/>
    </xf>
    <xf numFmtId="0" fontId="32" fillId="38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33" fillId="0" borderId="16" xfId="0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182" fontId="33" fillId="0" borderId="16" xfId="242" applyNumberFormat="1" applyFont="1" applyFill="1" applyBorder="1" applyAlignment="1">
      <alignment/>
    </xf>
    <xf numFmtId="0" fontId="33" fillId="0" borderId="1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1" fillId="38" borderId="16" xfId="0" applyFont="1" applyFill="1" applyBorder="1" applyAlignment="1">
      <alignment horizontal="center"/>
    </xf>
    <xf numFmtId="0" fontId="31" fillId="38" borderId="16" xfId="0" applyFont="1" applyFill="1" applyBorder="1" applyAlignment="1">
      <alignment/>
    </xf>
    <xf numFmtId="182" fontId="32" fillId="38" borderId="16" xfId="242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/>
    </xf>
    <xf numFmtId="182" fontId="35" fillId="0" borderId="16" xfId="242" applyNumberFormat="1" applyFont="1" applyFill="1" applyBorder="1" applyAlignment="1">
      <alignment/>
    </xf>
    <xf numFmtId="0" fontId="36" fillId="0" borderId="0" xfId="0" applyFont="1" applyFill="1" applyAlignment="1">
      <alignment/>
    </xf>
    <xf numFmtId="182" fontId="32" fillId="38" borderId="16" xfId="242" applyNumberFormat="1" applyFont="1" applyFill="1" applyBorder="1" applyAlignment="1">
      <alignment/>
    </xf>
    <xf numFmtId="0" fontId="37" fillId="38" borderId="16" xfId="0" applyFont="1" applyFill="1" applyBorder="1" applyAlignment="1">
      <alignment horizontal="center"/>
    </xf>
    <xf numFmtId="0" fontId="37" fillId="38" borderId="16" xfId="0" applyFont="1" applyFill="1" applyBorder="1" applyAlignment="1">
      <alignment/>
    </xf>
    <xf numFmtId="182" fontId="32" fillId="38" borderId="16" xfId="0" applyNumberFormat="1" applyFont="1" applyFill="1" applyBorder="1" applyAlignment="1">
      <alignment/>
    </xf>
    <xf numFmtId="182" fontId="35" fillId="0" borderId="16" xfId="88" applyNumberFormat="1" applyFont="1" applyFill="1" applyBorder="1" applyAlignment="1">
      <alignment/>
    </xf>
    <xf numFmtId="0" fontId="33" fillId="0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182" fontId="33" fillId="0" borderId="20" xfId="88" applyNumberFormat="1" applyFont="1" applyFill="1" applyBorder="1" applyAlignment="1">
      <alignment/>
    </xf>
    <xf numFmtId="0" fontId="31" fillId="39" borderId="9" xfId="0" applyFont="1" applyFill="1" applyBorder="1" applyAlignment="1">
      <alignment/>
    </xf>
    <xf numFmtId="0" fontId="31" fillId="39" borderId="9" xfId="0" applyFont="1" applyFill="1" applyBorder="1" applyAlignment="1">
      <alignment horizontal="center"/>
    </xf>
    <xf numFmtId="182" fontId="31" fillId="39" borderId="9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39" borderId="0" xfId="0" applyFont="1" applyFill="1" applyAlignment="1">
      <alignment/>
    </xf>
    <xf numFmtId="0" fontId="9" fillId="0" borderId="0" xfId="0" applyFont="1" applyAlignment="1">
      <alignment/>
    </xf>
    <xf numFmtId="0" fontId="4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 vertical="center"/>
    </xf>
    <xf numFmtId="0" fontId="23" fillId="40" borderId="27" xfId="0" applyFont="1" applyFill="1" applyBorder="1" applyAlignment="1">
      <alignment horizontal="center" vertical="top"/>
    </xf>
    <xf numFmtId="0" fontId="23" fillId="40" borderId="28" xfId="0" applyFont="1" applyFill="1" applyBorder="1" applyAlignment="1">
      <alignment horizontal="center" vertical="top"/>
    </xf>
    <xf numFmtId="0" fontId="23" fillId="40" borderId="29" xfId="0" applyFont="1" applyFill="1" applyBorder="1" applyAlignment="1">
      <alignment horizontal="center" vertical="top"/>
    </xf>
    <xf numFmtId="0" fontId="23" fillId="40" borderId="30" xfId="0" applyFont="1" applyFill="1" applyBorder="1" applyAlignment="1">
      <alignment horizontal="center" vertical="top"/>
    </xf>
    <xf numFmtId="0" fontId="23" fillId="40" borderId="14" xfId="0" applyFont="1" applyFill="1" applyBorder="1" applyAlignment="1">
      <alignment horizontal="center" vertical="top"/>
    </xf>
    <xf numFmtId="0" fontId="14" fillId="0" borderId="31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center" vertical="center"/>
    </xf>
    <xf numFmtId="180" fontId="23" fillId="40" borderId="2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32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180" fontId="23" fillId="40" borderId="3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29" xfId="0" applyFont="1" applyBorder="1" applyAlignment="1">
      <alignment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4" fillId="0" borderId="3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180" fontId="23" fillId="40" borderId="14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24" fillId="0" borderId="17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81" fontId="34" fillId="39" borderId="0" xfId="242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1" fontId="34" fillId="0" borderId="0" xfId="0" applyNumberFormat="1" applyFont="1" applyFill="1" applyAlignment="1">
      <alignment/>
    </xf>
    <xf numFmtId="199" fontId="34" fillId="39" borderId="0" xfId="242" applyNumberFormat="1" applyFont="1" applyFill="1" applyAlignment="1">
      <alignment/>
    </xf>
    <xf numFmtId="198" fontId="34" fillId="0" borderId="0" xfId="0" applyNumberFormat="1" applyFont="1" applyFill="1" applyAlignment="1">
      <alignment/>
    </xf>
    <xf numFmtId="180" fontId="34" fillId="0" borderId="0" xfId="0" applyNumberFormat="1" applyFont="1" applyFill="1" applyAlignment="1">
      <alignment/>
    </xf>
    <xf numFmtId="181" fontId="34" fillId="0" borderId="0" xfId="0" applyNumberFormat="1" applyFont="1" applyFill="1" applyAlignment="1">
      <alignment/>
    </xf>
    <xf numFmtId="180" fontId="30" fillId="37" borderId="0" xfId="0" applyNumberFormat="1" applyFont="1" applyFill="1" applyAlignment="1">
      <alignment/>
    </xf>
    <xf numFmtId="0" fontId="67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181" fontId="34" fillId="0" borderId="0" xfId="242" applyNumberFormat="1" applyFont="1" applyFill="1" applyAlignment="1">
      <alignment/>
    </xf>
    <xf numFmtId="181" fontId="34" fillId="0" borderId="0" xfId="0" applyNumberFormat="1" applyFont="1" applyFill="1" applyAlignment="1">
      <alignment horizontal="center"/>
    </xf>
    <xf numFmtId="182" fontId="34" fillId="0" borderId="0" xfId="0" applyNumberFormat="1" applyFont="1" applyFill="1" applyAlignment="1">
      <alignment/>
    </xf>
    <xf numFmtId="182" fontId="30" fillId="2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180" fontId="30" fillId="37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2" fontId="69" fillId="39" borderId="0" xfId="0" applyNumberFormat="1" applyFont="1" applyFill="1" applyAlignment="1">
      <alignment horizontal="center"/>
    </xf>
    <xf numFmtId="0" fontId="69" fillId="39" borderId="0" xfId="0" applyFont="1" applyFill="1" applyAlignment="1">
      <alignment horizontal="center"/>
    </xf>
    <xf numFmtId="180" fontId="69" fillId="0" borderId="0" xfId="0" applyNumberFormat="1" applyFont="1" applyFill="1" applyAlignment="1">
      <alignment horizontal="center"/>
    </xf>
    <xf numFmtId="180" fontId="68" fillId="37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72" fillId="0" borderId="0" xfId="0" applyFont="1" applyFill="1" applyAlignment="1">
      <alignment/>
    </xf>
    <xf numFmtId="181" fontId="34" fillId="37" borderId="0" xfId="242" applyNumberFormat="1" applyFont="1" applyFill="1" applyAlignment="1">
      <alignment/>
    </xf>
    <xf numFmtId="181" fontId="34" fillId="37" borderId="0" xfId="0" applyNumberFormat="1" applyFont="1" applyFill="1" applyAlignment="1">
      <alignment/>
    </xf>
    <xf numFmtId="181" fontId="34" fillId="2" borderId="0" xfId="0" applyNumberFormat="1" applyFont="1" applyFill="1" applyAlignment="1">
      <alignment/>
    </xf>
    <xf numFmtId="181" fontId="34" fillId="0" borderId="0" xfId="0" applyNumberFormat="1" applyFont="1" applyFill="1" applyAlignment="1">
      <alignment/>
    </xf>
    <xf numFmtId="182" fontId="34" fillId="0" borderId="0" xfId="242" applyNumberFormat="1" applyFont="1" applyFill="1" applyAlignment="1">
      <alignment/>
    </xf>
    <xf numFmtId="0" fontId="30" fillId="0" borderId="0" xfId="0" applyFont="1" applyFill="1" applyAlignment="1">
      <alignment/>
    </xf>
    <xf numFmtId="182" fontId="30" fillId="37" borderId="0" xfId="0" applyNumberFormat="1" applyFont="1" applyFill="1" applyAlignment="1">
      <alignment/>
    </xf>
    <xf numFmtId="0" fontId="73" fillId="2" borderId="0" xfId="0" applyFont="1" applyFill="1" applyAlignment="1">
      <alignment horizontal="center"/>
    </xf>
    <xf numFmtId="0" fontId="30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67" fillId="2" borderId="0" xfId="0" applyFont="1" applyFill="1" applyAlignment="1">
      <alignment horizontal="center"/>
    </xf>
    <xf numFmtId="0" fontId="34" fillId="2" borderId="0" xfId="0" applyFont="1" applyFill="1" applyAlignment="1">
      <alignment horizontal="right"/>
    </xf>
    <xf numFmtId="181" fontId="34" fillId="2" borderId="0" xfId="242" applyNumberFormat="1" applyFont="1" applyFill="1" applyAlignment="1">
      <alignment/>
    </xf>
    <xf numFmtId="0" fontId="3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textRotation="180"/>
    </xf>
    <xf numFmtId="0" fontId="67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71" fontId="34" fillId="0" borderId="0" xfId="242" applyNumberFormat="1" applyFont="1" applyFill="1" applyAlignment="1">
      <alignment/>
    </xf>
    <xf numFmtId="171" fontId="34" fillId="0" borderId="0" xfId="242" applyFont="1" applyFill="1" applyAlignment="1">
      <alignment/>
    </xf>
    <xf numFmtId="2" fontId="34" fillId="0" borderId="0" xfId="0" applyNumberFormat="1" applyFont="1" applyFill="1" applyAlignment="1">
      <alignment/>
    </xf>
    <xf numFmtId="201" fontId="34" fillId="0" borderId="0" xfId="242" applyNumberFormat="1" applyFont="1" applyFill="1" applyAlignment="1">
      <alignment/>
    </xf>
    <xf numFmtId="182" fontId="30" fillId="37" borderId="0" xfId="242" applyNumberFormat="1" applyFont="1" applyFill="1" applyAlignment="1">
      <alignment/>
    </xf>
    <xf numFmtId="182" fontId="30" fillId="0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180" fontId="30" fillId="2" borderId="0" xfId="0" applyNumberFormat="1" applyFont="1" applyFill="1" applyAlignment="1">
      <alignment/>
    </xf>
    <xf numFmtId="171" fontId="34" fillId="37" borderId="0" xfId="242" applyNumberFormat="1" applyFont="1" applyFill="1" applyAlignment="1">
      <alignment/>
    </xf>
    <xf numFmtId="0" fontId="73" fillId="38" borderId="0" xfId="0" applyFont="1" applyFill="1" applyAlignment="1">
      <alignment horizontal="center"/>
    </xf>
    <xf numFmtId="0" fontId="30" fillId="38" borderId="0" xfId="0" applyFont="1" applyFill="1" applyAlignment="1">
      <alignment/>
    </xf>
    <xf numFmtId="0" fontId="34" fillId="38" borderId="0" xfId="0" applyFont="1" applyFill="1" applyAlignment="1">
      <alignment/>
    </xf>
    <xf numFmtId="0" fontId="34" fillId="38" borderId="0" xfId="0" applyFont="1" applyFill="1" applyAlignment="1">
      <alignment horizontal="center"/>
    </xf>
    <xf numFmtId="182" fontId="30" fillId="38" borderId="0" xfId="0" applyNumberFormat="1" applyFont="1" applyFill="1" applyAlignment="1">
      <alignment/>
    </xf>
    <xf numFmtId="0" fontId="30" fillId="38" borderId="0" xfId="0" applyFont="1" applyFill="1" applyAlignment="1">
      <alignment/>
    </xf>
    <xf numFmtId="0" fontId="74" fillId="0" borderId="0" xfId="0" applyFont="1" applyFill="1" applyAlignment="1">
      <alignment/>
    </xf>
    <xf numFmtId="171" fontId="34" fillId="39" borderId="0" xfId="242" applyFont="1" applyFill="1" applyAlignment="1">
      <alignment/>
    </xf>
    <xf numFmtId="171" fontId="34" fillId="39" borderId="0" xfId="242" applyFont="1" applyFill="1" applyAlignment="1">
      <alignment/>
    </xf>
    <xf numFmtId="202" fontId="34" fillId="0" borderId="0" xfId="242" applyNumberFormat="1" applyFont="1" applyFill="1" applyAlignment="1">
      <alignment/>
    </xf>
    <xf numFmtId="202" fontId="34" fillId="0" borderId="0" xfId="0" applyNumberFormat="1" applyFont="1" applyFill="1" applyAlignment="1">
      <alignment/>
    </xf>
    <xf numFmtId="171" fontId="34" fillId="0" borderId="0" xfId="0" applyNumberFormat="1" applyFont="1" applyFill="1" applyAlignment="1">
      <alignment/>
    </xf>
    <xf numFmtId="181" fontId="34" fillId="39" borderId="0" xfId="0" applyNumberFormat="1" applyFont="1" applyFill="1" applyAlignment="1">
      <alignment/>
    </xf>
    <xf numFmtId="203" fontId="34" fillId="0" borderId="0" xfId="0" applyNumberFormat="1" applyFont="1" applyFill="1" applyAlignment="1">
      <alignment/>
    </xf>
    <xf numFmtId="182" fontId="33" fillId="0" borderId="0" xfId="0" applyNumberFormat="1" applyFont="1" applyFill="1" applyAlignment="1">
      <alignment/>
    </xf>
    <xf numFmtId="204" fontId="34" fillId="0" borderId="0" xfId="0" applyNumberFormat="1" applyFont="1" applyFill="1" applyAlignment="1">
      <alignment/>
    </xf>
    <xf numFmtId="0" fontId="67" fillId="38" borderId="0" xfId="0" applyFont="1" applyFill="1" applyAlignment="1">
      <alignment horizontal="center"/>
    </xf>
    <xf numFmtId="0" fontId="34" fillId="38" borderId="0" xfId="0" applyFont="1" applyFill="1" applyAlignment="1">
      <alignment horizontal="right"/>
    </xf>
    <xf numFmtId="181" fontId="34" fillId="38" borderId="0" xfId="242" applyNumberFormat="1" applyFont="1" applyFill="1" applyAlignment="1">
      <alignment/>
    </xf>
    <xf numFmtId="181" fontId="34" fillId="38" borderId="0" xfId="0" applyNumberFormat="1" applyFont="1" applyFill="1" applyAlignment="1">
      <alignment horizontal="center"/>
    </xf>
    <xf numFmtId="182" fontId="34" fillId="38" borderId="0" xfId="0" applyNumberFormat="1" applyFont="1" applyFill="1" applyAlignment="1">
      <alignment/>
    </xf>
    <xf numFmtId="1" fontId="34" fillId="38" borderId="0" xfId="0" applyNumberFormat="1" applyFont="1" applyFill="1" applyAlignment="1">
      <alignment/>
    </xf>
    <xf numFmtId="181" fontId="34" fillId="40" borderId="0" xfId="0" applyNumberFormat="1" applyFont="1" applyFill="1" applyAlignment="1">
      <alignment/>
    </xf>
    <xf numFmtId="205" fontId="34" fillId="0" borderId="0" xfId="0" applyNumberFormat="1" applyFont="1" applyFill="1" applyAlignment="1">
      <alignment/>
    </xf>
    <xf numFmtId="182" fontId="30" fillId="37" borderId="0" xfId="68" applyNumberFormat="1" applyFont="1" applyFill="1" applyAlignment="1">
      <alignment/>
    </xf>
    <xf numFmtId="0" fontId="34" fillId="39" borderId="0" xfId="0" applyFont="1" applyFill="1" applyAlignment="1">
      <alignment/>
    </xf>
    <xf numFmtId="204" fontId="30" fillId="0" borderId="0" xfId="0" applyNumberFormat="1" applyFont="1" applyFill="1" applyAlignment="1">
      <alignment/>
    </xf>
    <xf numFmtId="0" fontId="30" fillId="38" borderId="0" xfId="0" applyFont="1" applyFill="1" applyAlignment="1">
      <alignment horizontal="center"/>
    </xf>
    <xf numFmtId="182" fontId="30" fillId="38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180" fontId="34" fillId="39" borderId="0" xfId="0" applyNumberFormat="1" applyFont="1" applyFill="1" applyAlignment="1">
      <alignment/>
    </xf>
    <xf numFmtId="2" fontId="34" fillId="39" borderId="0" xfId="0" applyNumberFormat="1" applyFont="1" applyFill="1" applyAlignment="1">
      <alignment/>
    </xf>
    <xf numFmtId="206" fontId="34" fillId="0" borderId="0" xfId="0" applyNumberFormat="1" applyFont="1" applyFill="1" applyAlignment="1">
      <alignment/>
    </xf>
    <xf numFmtId="180" fontId="30" fillId="0" borderId="0" xfId="0" applyNumberFormat="1" applyFont="1" applyFill="1" applyAlignment="1">
      <alignment/>
    </xf>
    <xf numFmtId="0" fontId="75" fillId="38" borderId="0" xfId="0" applyFont="1" applyFill="1" applyAlignment="1">
      <alignment/>
    </xf>
    <xf numFmtId="0" fontId="75" fillId="38" borderId="0" xfId="0" applyFont="1" applyFill="1" applyAlignment="1">
      <alignment horizontal="center"/>
    </xf>
    <xf numFmtId="0" fontId="77" fillId="38" borderId="0" xfId="0" applyFont="1" applyFill="1" applyAlignment="1">
      <alignment horizontal="center"/>
    </xf>
    <xf numFmtId="0" fontId="75" fillId="38" borderId="0" xfId="0" applyFont="1" applyFill="1" applyAlignment="1">
      <alignment horizontal="right"/>
    </xf>
    <xf numFmtId="181" fontId="75" fillId="38" borderId="0" xfId="242" applyNumberFormat="1" applyFont="1" applyFill="1" applyAlignment="1">
      <alignment/>
    </xf>
    <xf numFmtId="181" fontId="75" fillId="38" borderId="0" xfId="0" applyNumberFormat="1" applyFont="1" applyFill="1" applyAlignment="1">
      <alignment horizontal="center"/>
    </xf>
    <xf numFmtId="182" fontId="75" fillId="38" borderId="0" xfId="0" applyNumberFormat="1" applyFont="1" applyFill="1" applyAlignment="1">
      <alignment/>
    </xf>
    <xf numFmtId="1" fontId="75" fillId="38" borderId="0" xfId="0" applyNumberFormat="1" applyFont="1" applyFill="1" applyAlignment="1">
      <alignment/>
    </xf>
    <xf numFmtId="182" fontId="76" fillId="38" borderId="0" xfId="0" applyNumberFormat="1" applyFont="1" applyFill="1" applyAlignment="1">
      <alignment/>
    </xf>
    <xf numFmtId="171" fontId="75" fillId="39" borderId="0" xfId="242" applyNumberFormat="1" applyFont="1" applyFill="1" applyAlignment="1">
      <alignment/>
    </xf>
    <xf numFmtId="180" fontId="75" fillId="0" borderId="0" xfId="0" applyNumberFormat="1" applyFont="1" applyFill="1" applyAlignment="1">
      <alignment/>
    </xf>
    <xf numFmtId="171" fontId="75" fillId="39" borderId="0" xfId="242" applyFont="1" applyFill="1" applyAlignment="1">
      <alignment/>
    </xf>
    <xf numFmtId="2" fontId="75" fillId="39" borderId="0" xfId="0" applyNumberFormat="1" applyFont="1" applyFill="1" applyAlignment="1">
      <alignment/>
    </xf>
    <xf numFmtId="0" fontId="75" fillId="39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18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/>
    </xf>
    <xf numFmtId="181" fontId="75" fillId="0" borderId="0" xfId="242" applyNumberFormat="1" applyFont="1" applyFill="1" applyAlignment="1">
      <alignment/>
    </xf>
    <xf numFmtId="171" fontId="75" fillId="0" borderId="0" xfId="0" applyNumberFormat="1" applyFont="1" applyFill="1" applyAlignment="1">
      <alignment/>
    </xf>
    <xf numFmtId="0" fontId="77" fillId="0" borderId="0" xfId="0" applyFont="1" applyFill="1" applyAlignment="1">
      <alignment horizontal="center"/>
    </xf>
    <xf numFmtId="181" fontId="75" fillId="37" borderId="0" xfId="242" applyNumberFormat="1" applyFont="1" applyFill="1" applyAlignment="1">
      <alignment/>
    </xf>
    <xf numFmtId="181" fontId="75" fillId="0" borderId="0" xfId="0" applyNumberFormat="1" applyFont="1" applyFill="1" applyAlignment="1">
      <alignment/>
    </xf>
    <xf numFmtId="181" fontId="75" fillId="0" borderId="0" xfId="0" applyNumberFormat="1" applyFont="1" applyFill="1" applyAlignment="1">
      <alignment/>
    </xf>
    <xf numFmtId="182" fontId="75" fillId="0" borderId="0" xfId="242" applyNumberFormat="1" applyFont="1" applyFill="1" applyAlignment="1">
      <alignment/>
    </xf>
    <xf numFmtId="0" fontId="76" fillId="0" borderId="0" xfId="0" applyFont="1" applyFill="1" applyAlignment="1">
      <alignment/>
    </xf>
    <xf numFmtId="182" fontId="76" fillId="37" borderId="0" xfId="0" applyNumberFormat="1" applyFont="1" applyFill="1" applyAlignment="1">
      <alignment/>
    </xf>
    <xf numFmtId="171" fontId="75" fillId="37" borderId="0" xfId="242" applyNumberFormat="1" applyFont="1" applyFill="1" applyAlignment="1">
      <alignment/>
    </xf>
    <xf numFmtId="2" fontId="75" fillId="37" borderId="0" xfId="0" applyNumberFormat="1" applyFont="1" applyFill="1" applyAlignment="1">
      <alignment/>
    </xf>
    <xf numFmtId="0" fontId="75" fillId="37" borderId="0" xfId="0" applyFont="1" applyFill="1" applyAlignment="1">
      <alignment/>
    </xf>
    <xf numFmtId="171" fontId="75" fillId="37" borderId="0" xfId="0" applyNumberFormat="1" applyFont="1" applyFill="1" applyAlignment="1">
      <alignment/>
    </xf>
    <xf numFmtId="171" fontId="75" fillId="37" borderId="0" xfId="242" applyFont="1" applyFill="1" applyAlignment="1">
      <alignment/>
    </xf>
    <xf numFmtId="171" fontId="75" fillId="0" borderId="0" xfId="242" applyNumberFormat="1" applyFont="1" applyFill="1" applyAlignment="1">
      <alignment/>
    </xf>
    <xf numFmtId="171" fontId="75" fillId="0" borderId="0" xfId="242" applyFont="1" applyFill="1" applyAlignment="1">
      <alignment/>
    </xf>
    <xf numFmtId="171" fontId="75" fillId="2" borderId="0" xfId="0" applyNumberFormat="1" applyFont="1" applyFill="1" applyAlignment="1">
      <alignment/>
    </xf>
    <xf numFmtId="0" fontId="75" fillId="2" borderId="0" xfId="0" applyFont="1" applyFill="1" applyAlignment="1">
      <alignment/>
    </xf>
    <xf numFmtId="0" fontId="77" fillId="2" borderId="0" xfId="0" applyFont="1" applyFill="1" applyAlignment="1">
      <alignment horizontal="center"/>
    </xf>
    <xf numFmtId="0" fontId="75" fillId="2" borderId="0" xfId="0" applyFont="1" applyFill="1" applyAlignment="1">
      <alignment/>
    </xf>
    <xf numFmtId="0" fontId="75" fillId="2" borderId="0" xfId="0" applyFont="1" applyFill="1" applyAlignment="1">
      <alignment horizontal="center"/>
    </xf>
    <xf numFmtId="0" fontId="75" fillId="2" borderId="0" xfId="0" applyFont="1" applyFill="1" applyAlignment="1">
      <alignment horizontal="right"/>
    </xf>
    <xf numFmtId="181" fontId="75" fillId="2" borderId="0" xfId="242" applyNumberFormat="1" applyFont="1" applyFill="1" applyAlignment="1">
      <alignment/>
    </xf>
    <xf numFmtId="181" fontId="75" fillId="2" borderId="0" xfId="0" applyNumberFormat="1" applyFont="1" applyFill="1" applyAlignment="1">
      <alignment horizontal="center"/>
    </xf>
    <xf numFmtId="182" fontId="75" fillId="2" borderId="0" xfId="0" applyNumberFormat="1" applyFont="1" applyFill="1" applyAlignment="1">
      <alignment/>
    </xf>
    <xf numFmtId="180" fontId="75" fillId="2" borderId="0" xfId="0" applyNumberFormat="1" applyFont="1" applyFill="1" applyAlignment="1">
      <alignment/>
    </xf>
    <xf numFmtId="182" fontId="76" fillId="2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34" fillId="37" borderId="0" xfId="0" applyFont="1" applyFill="1" applyAlignment="1">
      <alignment/>
    </xf>
    <xf numFmtId="182" fontId="34" fillId="40" borderId="0" xfId="0" applyNumberFormat="1" applyFont="1" applyFill="1" applyAlignment="1">
      <alignment/>
    </xf>
    <xf numFmtId="204" fontId="70" fillId="0" borderId="0" xfId="0" applyNumberFormat="1" applyFont="1" applyFill="1" applyAlignment="1">
      <alignment/>
    </xf>
    <xf numFmtId="204" fontId="80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/>
    </xf>
    <xf numFmtId="0" fontId="34" fillId="2" borderId="0" xfId="0" applyFont="1" applyFill="1" applyAlignment="1">
      <alignment/>
    </xf>
    <xf numFmtId="182" fontId="34" fillId="2" borderId="0" xfId="0" applyNumberFormat="1" applyFont="1" applyFill="1" applyAlignment="1">
      <alignment/>
    </xf>
    <xf numFmtId="182" fontId="76" fillId="2" borderId="0" xfId="0" applyNumberFormat="1" applyFont="1" applyFill="1" applyAlignment="1">
      <alignment/>
    </xf>
    <xf numFmtId="202" fontId="34" fillId="0" borderId="0" xfId="0" applyNumberFormat="1" applyFont="1" applyFill="1" applyAlignment="1">
      <alignment/>
    </xf>
    <xf numFmtId="200" fontId="34" fillId="0" borderId="0" xfId="0" applyNumberFormat="1" applyFont="1" applyFill="1" applyAlignment="1">
      <alignment/>
    </xf>
    <xf numFmtId="201" fontId="34" fillId="0" borderId="0" xfId="0" applyNumberFormat="1" applyFont="1" applyFill="1" applyAlignment="1">
      <alignment/>
    </xf>
    <xf numFmtId="182" fontId="34" fillId="37" borderId="0" xfId="0" applyNumberFormat="1" applyFont="1" applyFill="1" applyAlignment="1">
      <alignment/>
    </xf>
    <xf numFmtId="180" fontId="34" fillId="37" borderId="0" xfId="0" applyNumberFormat="1" applyFont="1" applyFill="1" applyAlignment="1">
      <alignment/>
    </xf>
    <xf numFmtId="181" fontId="34" fillId="2" borderId="0" xfId="0" applyNumberFormat="1" applyFont="1" applyFill="1" applyAlignment="1">
      <alignment horizontal="center"/>
    </xf>
    <xf numFmtId="180" fontId="34" fillId="2" borderId="0" xfId="0" applyNumberFormat="1" applyFont="1" applyFill="1" applyAlignment="1">
      <alignment/>
    </xf>
    <xf numFmtId="180" fontId="34" fillId="2" borderId="0" xfId="0" applyNumberFormat="1" applyFont="1" applyFill="1" applyAlignment="1">
      <alignment horizontal="center"/>
    </xf>
    <xf numFmtId="0" fontId="34" fillId="38" borderId="0" xfId="0" applyFont="1" applyFill="1" applyAlignment="1">
      <alignment/>
    </xf>
    <xf numFmtId="181" fontId="34" fillId="38" borderId="0" xfId="0" applyNumberFormat="1" applyFont="1" applyFill="1" applyAlignment="1">
      <alignment/>
    </xf>
    <xf numFmtId="182" fontId="34" fillId="38" borderId="0" xfId="242" applyNumberFormat="1" applyFont="1" applyFill="1" applyAlignment="1">
      <alignment/>
    </xf>
    <xf numFmtId="0" fontId="69" fillId="0" borderId="0" xfId="0" applyFont="1" applyFill="1" applyAlignment="1">
      <alignment/>
    </xf>
    <xf numFmtId="182" fontId="30" fillId="40" borderId="0" xfId="242" applyNumberFormat="1" applyFont="1" applyFill="1" applyAlignment="1">
      <alignment/>
    </xf>
    <xf numFmtId="0" fontId="33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180" fontId="84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180" fontId="86" fillId="37" borderId="0" xfId="0" applyNumberFormat="1" applyFont="1" applyFill="1" applyAlignment="1">
      <alignment horizontal="center"/>
    </xf>
    <xf numFmtId="0" fontId="8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2" fontId="33" fillId="0" borderId="16" xfId="242" applyNumberFormat="1" applyFont="1" applyFill="1" applyBorder="1" applyAlignment="1" applyProtection="1">
      <alignment/>
      <protection hidden="1"/>
    </xf>
    <xf numFmtId="182" fontId="32" fillId="38" borderId="16" xfId="242" applyNumberFormat="1" applyFont="1" applyFill="1" applyBorder="1" applyAlignment="1" applyProtection="1">
      <alignment horizontal="center"/>
      <protection hidden="1"/>
    </xf>
    <xf numFmtId="182" fontId="35" fillId="0" borderId="16" xfId="242" applyNumberFormat="1" applyFont="1" applyFill="1" applyBorder="1" applyAlignment="1" applyProtection="1">
      <alignment/>
      <protection hidden="1"/>
    </xf>
    <xf numFmtId="182" fontId="32" fillId="38" borderId="16" xfId="242" applyNumberFormat="1" applyFont="1" applyFill="1" applyBorder="1" applyAlignment="1" applyProtection="1">
      <alignment/>
      <protection hidden="1"/>
    </xf>
    <xf numFmtId="182" fontId="32" fillId="38" borderId="16" xfId="0" applyNumberFormat="1" applyFont="1" applyFill="1" applyBorder="1" applyAlignment="1" applyProtection="1">
      <alignment/>
      <protection hidden="1"/>
    </xf>
    <xf numFmtId="182" fontId="35" fillId="0" borderId="16" xfId="68" applyNumberFormat="1" applyFont="1" applyFill="1" applyBorder="1" applyAlignment="1" applyProtection="1">
      <alignment/>
      <protection hidden="1"/>
    </xf>
    <xf numFmtId="0" fontId="90" fillId="0" borderId="34" xfId="0" applyFont="1" applyBorder="1" applyAlignment="1" applyProtection="1">
      <alignment horizontal="center"/>
      <protection hidden="1"/>
    </xf>
    <xf numFmtId="0" fontId="92" fillId="0" borderId="9" xfId="0" applyFont="1" applyBorder="1" applyAlignment="1" applyProtection="1">
      <alignment horizontal="center" vertical="center"/>
      <protection hidden="1"/>
    </xf>
    <xf numFmtId="0" fontId="92" fillId="0" borderId="0" xfId="0" applyFont="1" applyFill="1" applyAlignment="1" applyProtection="1">
      <alignment vertical="center"/>
      <protection locked="0"/>
    </xf>
    <xf numFmtId="0" fontId="92" fillId="0" borderId="0" xfId="0" applyFont="1" applyAlignment="1" applyProtection="1">
      <alignment horizontal="left" vertical="center"/>
      <protection/>
    </xf>
    <xf numFmtId="0" fontId="92" fillId="0" borderId="0" xfId="190" applyFont="1" applyAlignment="1" applyProtection="1">
      <alignment horizontal="left" vertical="center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locked="0"/>
    </xf>
    <xf numFmtId="0" fontId="94" fillId="0" borderId="35" xfId="0" applyFont="1" applyBorder="1" applyAlignment="1">
      <alignment horizontal="center" vertical="center"/>
    </xf>
    <xf numFmtId="0" fontId="95" fillId="0" borderId="36" xfId="0" applyFont="1" applyBorder="1" applyAlignment="1">
      <alignment horizontal="center" vertical="center"/>
    </xf>
    <xf numFmtId="1" fontId="94" fillId="0" borderId="36" xfId="68" applyNumberFormat="1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171" fontId="92" fillId="0" borderId="36" xfId="68" applyFont="1" applyBorder="1" applyAlignment="1">
      <alignment horizontal="left" vertical="center"/>
    </xf>
    <xf numFmtId="171" fontId="92" fillId="0" borderId="36" xfId="68" applyFont="1" applyBorder="1" applyAlignment="1">
      <alignment vertical="center"/>
    </xf>
    <xf numFmtId="171" fontId="94" fillId="0" borderId="37" xfId="68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38" xfId="0" applyFont="1" applyBorder="1" applyAlignment="1">
      <alignment horizontal="center" vertical="center"/>
    </xf>
    <xf numFmtId="1" fontId="94" fillId="0" borderId="16" xfId="68" applyNumberFormat="1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171" fontId="92" fillId="0" borderId="16" xfId="68" applyFont="1" applyBorder="1" applyAlignment="1">
      <alignment horizontal="left" vertical="center"/>
    </xf>
    <xf numFmtId="171" fontId="94" fillId="0" borderId="39" xfId="68" applyFont="1" applyBorder="1" applyAlignment="1">
      <alignment vertical="center"/>
    </xf>
    <xf numFmtId="0" fontId="94" fillId="0" borderId="16" xfId="0" applyFont="1" applyBorder="1" applyAlignment="1">
      <alignment horizontal="left" vertical="center"/>
    </xf>
    <xf numFmtId="171" fontId="92" fillId="0" borderId="16" xfId="68" applyFont="1" applyBorder="1" applyAlignment="1">
      <alignment vertical="center"/>
    </xf>
    <xf numFmtId="0" fontId="94" fillId="0" borderId="20" xfId="0" applyFont="1" applyBorder="1" applyAlignment="1">
      <alignment horizontal="left" vertical="center"/>
    </xf>
    <xf numFmtId="1" fontId="94" fillId="0" borderId="20" xfId="68" applyNumberFormat="1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171" fontId="92" fillId="0" borderId="20" xfId="68" applyFont="1" applyBorder="1" applyAlignment="1">
      <alignment horizontal="left" vertical="center"/>
    </xf>
    <xf numFmtId="171" fontId="92" fillId="0" borderId="30" xfId="68" applyFont="1" applyBorder="1" applyAlignment="1">
      <alignment horizontal="left" vertical="center"/>
    </xf>
    <xf numFmtId="171" fontId="92" fillId="0" borderId="30" xfId="68" applyFont="1" applyBorder="1" applyAlignment="1">
      <alignment vertical="center"/>
    </xf>
    <xf numFmtId="171" fontId="94" fillId="0" borderId="40" xfId="68" applyFont="1" applyBorder="1" applyAlignment="1">
      <alignment vertical="center"/>
    </xf>
    <xf numFmtId="0" fontId="94" fillId="40" borderId="41" xfId="0" applyFont="1" applyFill="1" applyBorder="1" applyAlignment="1">
      <alignment horizontal="center" vertical="center"/>
    </xf>
    <xf numFmtId="0" fontId="94" fillId="40" borderId="42" xfId="0" applyFont="1" applyFill="1" applyBorder="1" applyAlignment="1">
      <alignment horizontal="center" vertical="center"/>
    </xf>
    <xf numFmtId="1" fontId="94" fillId="40" borderId="42" xfId="68" applyNumberFormat="1" applyFont="1" applyFill="1" applyBorder="1" applyAlignment="1">
      <alignment horizontal="center" vertical="center"/>
    </xf>
    <xf numFmtId="171" fontId="92" fillId="40" borderId="42" xfId="68" applyFont="1" applyFill="1" applyBorder="1" applyAlignment="1">
      <alignment horizontal="left" vertical="center"/>
    </xf>
    <xf numFmtId="171" fontId="92" fillId="40" borderId="42" xfId="68" applyFont="1" applyFill="1" applyBorder="1" applyAlignment="1">
      <alignment vertical="center"/>
    </xf>
    <xf numFmtId="171" fontId="94" fillId="40" borderId="43" xfId="68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147" fillId="0" borderId="36" xfId="173" applyFont="1" applyBorder="1" applyAlignment="1">
      <alignment vertical="center"/>
      <protection/>
    </xf>
    <xf numFmtId="171" fontId="94" fillId="0" borderId="37" xfId="68" applyFont="1" applyFill="1" applyBorder="1" applyAlignment="1">
      <alignment vertical="center"/>
    </xf>
    <xf numFmtId="171" fontId="148" fillId="0" borderId="44" xfId="80" applyNumberFormat="1" applyFont="1" applyBorder="1" applyAlignment="1">
      <alignment horizontal="center" vertical="center"/>
    </xf>
    <xf numFmtId="0" fontId="148" fillId="0" borderId="16" xfId="173" applyFont="1" applyBorder="1" applyAlignment="1">
      <alignment vertical="center"/>
      <protection/>
    </xf>
    <xf numFmtId="4" fontId="98" fillId="0" borderId="16" xfId="76" applyNumberFormat="1" applyFont="1" applyBorder="1" applyAlignment="1">
      <alignment horizontal="right" vertical="center"/>
    </xf>
    <xf numFmtId="4" fontId="98" fillId="0" borderId="25" xfId="76" applyNumberFormat="1" applyFont="1" applyBorder="1" applyAlignment="1">
      <alignment horizontal="right" vertical="center"/>
    </xf>
    <xf numFmtId="171" fontId="94" fillId="0" borderId="39" xfId="68" applyFont="1" applyFill="1" applyBorder="1" applyAlignment="1">
      <alignment vertical="center"/>
    </xf>
    <xf numFmtId="0" fontId="147" fillId="0" borderId="16" xfId="173" applyFont="1" applyBorder="1" applyAlignment="1">
      <alignment vertical="center"/>
      <protection/>
    </xf>
    <xf numFmtId="181" fontId="147" fillId="0" borderId="44" xfId="81" applyNumberFormat="1" applyFont="1" applyBorder="1" applyAlignment="1">
      <alignment horizontal="center" vertical="center"/>
    </xf>
    <xf numFmtId="0" fontId="147" fillId="0" borderId="16" xfId="174" applyFont="1" applyBorder="1" applyAlignment="1">
      <alignment vertical="center"/>
      <protection/>
    </xf>
    <xf numFmtId="171" fontId="148" fillId="0" borderId="44" xfId="81" applyNumberFormat="1" applyFont="1" applyBorder="1" applyAlignment="1">
      <alignment horizontal="center" vertical="center"/>
    </xf>
    <xf numFmtId="0" fontId="148" fillId="0" borderId="16" xfId="174" applyFont="1" applyBorder="1" applyAlignment="1">
      <alignment vertical="center"/>
      <protection/>
    </xf>
    <xf numFmtId="4" fontId="98" fillId="0" borderId="16" xfId="77" applyNumberFormat="1" applyFont="1" applyBorder="1" applyAlignment="1">
      <alignment horizontal="right" vertical="center"/>
    </xf>
    <xf numFmtId="171" fontId="94" fillId="0" borderId="39" xfId="102" applyFont="1" applyFill="1" applyBorder="1" applyAlignment="1">
      <alignment vertical="center"/>
    </xf>
    <xf numFmtId="171" fontId="148" fillId="0" borderId="44" xfId="84" applyNumberFormat="1" applyFont="1" applyBorder="1" applyAlignment="1">
      <alignment horizontal="center" vertical="center"/>
    </xf>
    <xf numFmtId="0" fontId="148" fillId="0" borderId="16" xfId="177" applyFont="1" applyBorder="1" applyAlignment="1">
      <alignment vertical="center"/>
      <protection/>
    </xf>
    <xf numFmtId="0" fontId="93" fillId="0" borderId="0" xfId="0" applyFont="1" applyAlignment="1" applyProtection="1">
      <alignment horizontal="center" vertical="center"/>
      <protection locked="0"/>
    </xf>
    <xf numFmtId="49" fontId="93" fillId="0" borderId="0" xfId="0" applyNumberFormat="1" applyFont="1" applyAlignment="1" applyProtection="1">
      <alignment vertical="center"/>
      <protection locked="0"/>
    </xf>
    <xf numFmtId="1" fontId="93" fillId="0" borderId="0" xfId="0" applyNumberFormat="1" applyFont="1" applyAlignment="1" applyProtection="1">
      <alignment vertical="center"/>
      <protection locked="0"/>
    </xf>
    <xf numFmtId="0" fontId="93" fillId="0" borderId="0" xfId="0" applyFont="1" applyAlignment="1" applyProtection="1">
      <alignment vertical="center"/>
      <protection locked="0"/>
    </xf>
    <xf numFmtId="2" fontId="97" fillId="0" borderId="24" xfId="0" applyNumberFormat="1" applyFont="1" applyFill="1" applyBorder="1" applyAlignment="1">
      <alignment vertical="center"/>
    </xf>
    <xf numFmtId="2" fontId="97" fillId="0" borderId="24" xfId="181" applyNumberFormat="1" applyFont="1" applyFill="1" applyBorder="1" applyAlignment="1">
      <alignment vertical="center"/>
      <protection/>
    </xf>
    <xf numFmtId="0" fontId="99" fillId="0" borderId="9" xfId="0" applyFont="1" applyBorder="1" applyAlignment="1" applyProtection="1">
      <alignment horizontal="center" vertical="center"/>
      <protection hidden="1"/>
    </xf>
    <xf numFmtId="171" fontId="99" fillId="0" borderId="36" xfId="68" applyFont="1" applyBorder="1" applyAlignment="1">
      <alignment horizontal="left" vertical="center"/>
    </xf>
    <xf numFmtId="171" fontId="99" fillId="0" borderId="16" xfId="68" applyFont="1" applyBorder="1" applyAlignment="1">
      <alignment horizontal="left" vertical="center"/>
    </xf>
    <xf numFmtId="171" fontId="99" fillId="0" borderId="20" xfId="68" applyFont="1" applyBorder="1" applyAlignment="1">
      <alignment horizontal="left" vertical="center"/>
    </xf>
    <xf numFmtId="171" fontId="99" fillId="40" borderId="42" xfId="68" applyFont="1" applyFill="1" applyBorder="1" applyAlignment="1">
      <alignment horizontal="left" vertical="center"/>
    </xf>
    <xf numFmtId="4" fontId="98" fillId="0" borderId="16" xfId="75" applyNumberFormat="1" applyFont="1" applyBorder="1" applyAlignment="1">
      <alignment horizontal="right" vertical="center"/>
    </xf>
    <xf numFmtId="0" fontId="98" fillId="0" borderId="0" xfId="0" applyFont="1" applyAlignment="1" applyProtection="1">
      <alignment vertical="center"/>
      <protection locked="0"/>
    </xf>
    <xf numFmtId="0" fontId="100" fillId="0" borderId="0" xfId="0" applyFont="1" applyAlignment="1" applyProtection="1">
      <alignment horizontal="left" vertical="center"/>
      <protection hidden="1"/>
    </xf>
    <xf numFmtId="0" fontId="100" fillId="0" borderId="9" xfId="0" applyFont="1" applyBorder="1" applyAlignment="1" applyProtection="1">
      <alignment horizontal="center" vertical="center"/>
      <protection hidden="1"/>
    </xf>
    <xf numFmtId="171" fontId="100" fillId="0" borderId="36" xfId="68" applyFont="1" applyBorder="1" applyAlignment="1">
      <alignment horizontal="left" vertical="center"/>
    </xf>
    <xf numFmtId="171" fontId="100" fillId="0" borderId="16" xfId="68" applyFont="1" applyBorder="1" applyAlignment="1">
      <alignment horizontal="left" vertical="center"/>
    </xf>
    <xf numFmtId="171" fontId="100" fillId="0" borderId="30" xfId="68" applyFont="1" applyBorder="1" applyAlignment="1">
      <alignment horizontal="left" vertical="center"/>
    </xf>
    <xf numFmtId="171" fontId="100" fillId="40" borderId="42" xfId="68" applyFont="1" applyFill="1" applyBorder="1" applyAlignment="1">
      <alignment horizontal="left" vertical="center"/>
    </xf>
    <xf numFmtId="0" fontId="101" fillId="0" borderId="0" xfId="0" applyFont="1" applyAlignment="1" applyProtection="1">
      <alignment vertical="center"/>
      <protection locked="0"/>
    </xf>
    <xf numFmtId="0" fontId="147" fillId="0" borderId="16" xfId="173" applyFont="1" applyBorder="1" applyAlignment="1">
      <alignment horizontal="center" vertical="center"/>
      <protection/>
    </xf>
    <xf numFmtId="4" fontId="99" fillId="0" borderId="25" xfId="76" applyNumberFormat="1" applyFont="1" applyBorder="1" applyAlignment="1">
      <alignment horizontal="right" vertical="center"/>
    </xf>
    <xf numFmtId="4" fontId="99" fillId="0" borderId="16" xfId="76" applyNumberFormat="1" applyFont="1" applyBorder="1" applyAlignment="1">
      <alignment horizontal="right" vertical="center"/>
    </xf>
    <xf numFmtId="4" fontId="97" fillId="0" borderId="24" xfId="181" applyNumberFormat="1" applyFont="1" applyFill="1" applyBorder="1" applyAlignment="1">
      <alignment vertical="center"/>
      <protection/>
    </xf>
    <xf numFmtId="4" fontId="148" fillId="0" borderId="16" xfId="76" applyNumberFormat="1" applyFont="1" applyBorder="1" applyAlignment="1">
      <alignment horizontal="right" vertical="center"/>
    </xf>
    <xf numFmtId="4" fontId="148" fillId="0" borderId="16" xfId="77" applyNumberFormat="1" applyFont="1" applyBorder="1" applyAlignment="1">
      <alignment horizontal="right" vertical="center"/>
    </xf>
    <xf numFmtId="4" fontId="148" fillId="0" borderId="25" xfId="76" applyNumberFormat="1" applyFont="1" applyBorder="1" applyAlignment="1">
      <alignment horizontal="right" vertical="center"/>
    </xf>
    <xf numFmtId="171" fontId="149" fillId="0" borderId="39" xfId="102" applyFont="1" applyFill="1" applyBorder="1" applyAlignment="1">
      <alignment vertical="center"/>
    </xf>
    <xf numFmtId="0" fontId="149" fillId="0" borderId="0" xfId="0" applyFont="1" applyAlignment="1" applyProtection="1">
      <alignment vertical="center"/>
      <protection locked="0"/>
    </xf>
    <xf numFmtId="171" fontId="147" fillId="0" borderId="44" xfId="84" applyNumberFormat="1" applyFont="1" applyBorder="1" applyAlignment="1">
      <alignment horizontal="center" vertical="center"/>
    </xf>
    <xf numFmtId="171" fontId="147" fillId="0" borderId="44" xfId="80" applyNumberFormat="1" applyFont="1" applyBorder="1" applyAlignment="1">
      <alignment horizontal="center" vertical="center"/>
    </xf>
    <xf numFmtId="171" fontId="94" fillId="0" borderId="0" xfId="68" applyFont="1" applyAlignment="1">
      <alignment vertical="center"/>
    </xf>
    <xf numFmtId="171" fontId="94" fillId="0" borderId="0" xfId="68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0" fontId="94" fillId="0" borderId="38" xfId="0" applyFont="1" applyBorder="1" applyAlignment="1">
      <alignment horizontal="right" vertical="center"/>
    </xf>
    <xf numFmtId="0" fontId="99" fillId="0" borderId="0" xfId="0" applyFont="1" applyAlignment="1" applyProtection="1">
      <alignment horizontal="center" vertical="top"/>
      <protection hidden="1"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 horizontal="center" vertical="top"/>
      <protection hidden="1"/>
    </xf>
    <xf numFmtId="0" fontId="99" fillId="0" borderId="45" xfId="0" applyFont="1" applyBorder="1" applyAlignment="1" applyProtection="1">
      <alignment horizontal="right" vertical="top"/>
      <protection hidden="1"/>
    </xf>
    <xf numFmtId="0" fontId="98" fillId="0" borderId="0" xfId="0" applyFont="1" applyBorder="1" applyAlignment="1" applyProtection="1">
      <alignment vertical="top"/>
      <protection locked="0"/>
    </xf>
    <xf numFmtId="0" fontId="99" fillId="0" borderId="0" xfId="0" applyFont="1" applyAlignment="1">
      <alignment/>
    </xf>
    <xf numFmtId="0" fontId="99" fillId="0" borderId="24" xfId="0" applyFont="1" applyBorder="1" applyAlignment="1" applyProtection="1">
      <alignment horizontal="right"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99" fillId="0" borderId="24" xfId="187" applyFont="1" applyBorder="1" applyAlignment="1" applyProtection="1">
      <alignment horizontal="left" vertical="top"/>
      <protection hidden="1"/>
    </xf>
    <xf numFmtId="0" fontId="99" fillId="0" borderId="24" xfId="0" applyFont="1" applyBorder="1" applyAlignment="1" applyProtection="1">
      <alignment horizontal="left" vertical="top"/>
      <protection hidden="1"/>
    </xf>
    <xf numFmtId="0" fontId="99" fillId="0" borderId="0" xfId="0" applyFont="1" applyBorder="1" applyAlignment="1" applyProtection="1">
      <alignment horizontal="left" vertical="top"/>
      <protection hidden="1"/>
    </xf>
    <xf numFmtId="0" fontId="98" fillId="0" borderId="24" xfId="0" applyFont="1" applyBorder="1" applyAlignment="1" applyProtection="1">
      <alignment horizontal="center"/>
      <protection locked="0"/>
    </xf>
    <xf numFmtId="0" fontId="99" fillId="0" borderId="0" xfId="0" applyFont="1" applyBorder="1" applyAlignment="1" applyProtection="1">
      <alignment vertical="top"/>
      <protection hidden="1"/>
    </xf>
    <xf numFmtId="0" fontId="98" fillId="0" borderId="24" xfId="0" applyFont="1" applyBorder="1" applyAlignment="1" applyProtection="1">
      <alignment/>
      <protection hidden="1"/>
    </xf>
    <xf numFmtId="0" fontId="99" fillId="0" borderId="24" xfId="0" applyFont="1" applyBorder="1" applyAlignment="1" applyProtection="1">
      <alignment/>
      <protection hidden="1"/>
    </xf>
    <xf numFmtId="204" fontId="99" fillId="0" borderId="24" xfId="68" applyNumberFormat="1" applyFont="1" applyBorder="1" applyAlignment="1" applyProtection="1">
      <alignment vertical="top"/>
      <protection hidden="1"/>
    </xf>
    <xf numFmtId="0" fontId="99" fillId="0" borderId="0" xfId="0" applyFont="1" applyBorder="1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/>
      <protection hidden="1"/>
    </xf>
    <xf numFmtId="0" fontId="98" fillId="0" borderId="34" xfId="0" applyFont="1" applyBorder="1" applyAlignment="1" applyProtection="1">
      <alignment horizontal="center"/>
      <protection hidden="1"/>
    </xf>
    <xf numFmtId="0" fontId="98" fillId="0" borderId="0" xfId="0" applyFont="1" applyBorder="1" applyAlignment="1" applyProtection="1">
      <alignment/>
      <protection hidden="1"/>
    </xf>
    <xf numFmtId="0" fontId="99" fillId="0" borderId="21" xfId="0" applyFont="1" applyBorder="1" applyAlignment="1" applyProtection="1">
      <alignment horizontal="center" vertic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169" fontId="98" fillId="0" borderId="36" xfId="0" applyNumberFormat="1" applyFont="1" applyBorder="1" applyAlignment="1" applyProtection="1">
      <alignment/>
      <protection hidden="1"/>
    </xf>
    <xf numFmtId="178" fontId="98" fillId="0" borderId="24" xfId="0" applyNumberFormat="1" applyFont="1" applyBorder="1" applyAlignment="1" applyProtection="1">
      <alignment horizontal="left" vertical="top"/>
      <protection hidden="1"/>
    </xf>
    <xf numFmtId="178" fontId="101" fillId="0" borderId="24" xfId="0" applyNumberFormat="1" applyFont="1" applyBorder="1" applyAlignment="1" applyProtection="1">
      <alignment horizontal="left" vertical="top"/>
      <protection hidden="1"/>
    </xf>
    <xf numFmtId="178" fontId="101" fillId="0" borderId="26" xfId="0" applyNumberFormat="1" applyFont="1" applyBorder="1" applyAlignment="1" applyProtection="1">
      <alignment horizontal="left" vertical="top"/>
      <protection hidden="1"/>
    </xf>
    <xf numFmtId="169" fontId="98" fillId="0" borderId="16" xfId="0" applyNumberFormat="1" applyFont="1" applyBorder="1" applyAlignment="1" applyProtection="1">
      <alignment/>
      <protection hidden="1"/>
    </xf>
    <xf numFmtId="0" fontId="98" fillId="0" borderId="25" xfId="0" applyFont="1" applyBorder="1" applyAlignment="1" applyProtection="1">
      <alignment horizontal="left" vertical="top"/>
      <protection locked="0"/>
    </xf>
    <xf numFmtId="0" fontId="98" fillId="0" borderId="24" xfId="0" applyFont="1" applyBorder="1" applyAlignment="1" applyProtection="1">
      <alignment horizontal="left" vertical="top"/>
      <protection locked="0"/>
    </xf>
    <xf numFmtId="0" fontId="101" fillId="0" borderId="24" xfId="0" applyFont="1" applyBorder="1" applyAlignment="1" applyProtection="1">
      <alignment horizontal="left" vertical="top"/>
      <protection locked="0"/>
    </xf>
    <xf numFmtId="0" fontId="101" fillId="0" borderId="26" xfId="0" applyFont="1" applyBorder="1" applyAlignment="1" applyProtection="1">
      <alignment horizontal="left" vertical="top"/>
      <protection locked="0"/>
    </xf>
    <xf numFmtId="0" fontId="98" fillId="0" borderId="16" xfId="0" applyFont="1" applyBorder="1" applyAlignment="1" applyProtection="1">
      <alignment/>
      <protection hidden="1"/>
    </xf>
    <xf numFmtId="0" fontId="98" fillId="0" borderId="14" xfId="0" applyFont="1" applyBorder="1" applyAlignment="1" applyProtection="1">
      <alignment/>
      <protection hidden="1"/>
    </xf>
    <xf numFmtId="0" fontId="98" fillId="0" borderId="15" xfId="0" applyFont="1" applyBorder="1" applyAlignment="1" applyProtection="1">
      <alignment horizontal="center"/>
      <protection hidden="1"/>
    </xf>
    <xf numFmtId="0" fontId="98" fillId="0" borderId="0" xfId="0" applyFont="1" applyBorder="1" applyAlignment="1" applyProtection="1">
      <alignment horizontal="left" vertical="top" indent="1"/>
      <protection hidden="1"/>
    </xf>
    <xf numFmtId="0" fontId="98" fillId="0" borderId="0" xfId="0" applyFont="1" applyBorder="1" applyAlignment="1" applyProtection="1">
      <alignment horizontal="center"/>
      <protection hidden="1"/>
    </xf>
    <xf numFmtId="0" fontId="98" fillId="0" borderId="34" xfId="0" applyFont="1" applyBorder="1" applyAlignment="1" applyProtection="1">
      <alignment vertical="top"/>
      <protection hidden="1"/>
    </xf>
    <xf numFmtId="181" fontId="98" fillId="0" borderId="34" xfId="68" applyNumberFormat="1" applyFont="1" applyBorder="1" applyAlignment="1" applyProtection="1">
      <alignment horizontal="center" vertical="top"/>
      <protection hidden="1"/>
    </xf>
    <xf numFmtId="0" fontId="98" fillId="0" borderId="34" xfId="0" applyFont="1" applyBorder="1" applyAlignment="1" applyProtection="1">
      <alignment horizontal="left"/>
      <protection hidden="1"/>
    </xf>
    <xf numFmtId="0" fontId="98" fillId="0" borderId="0" xfId="0" applyFont="1" applyBorder="1" applyAlignment="1">
      <alignment/>
    </xf>
    <xf numFmtId="0" fontId="98" fillId="0" borderId="0" xfId="0" applyFont="1" applyBorder="1" applyAlignment="1" applyProtection="1">
      <alignment horizontal="center" vertical="top"/>
      <protection hidden="1"/>
    </xf>
    <xf numFmtId="0" fontId="98" fillId="0" borderId="0" xfId="0" applyFont="1" applyAlignment="1" applyProtection="1">
      <alignment horizontal="center" vertical="top"/>
      <protection hidden="1"/>
    </xf>
    <xf numFmtId="0" fontId="98" fillId="0" borderId="0" xfId="0" applyFont="1" applyBorder="1" applyAlignment="1" applyProtection="1">
      <alignment horizontal="right" vertical="top"/>
      <protection hidden="1"/>
    </xf>
    <xf numFmtId="0" fontId="104" fillId="0" borderId="0" xfId="0" applyFont="1" applyAlignment="1" applyProtection="1">
      <alignment horizontal="center" vertical="top"/>
      <protection hidden="1"/>
    </xf>
    <xf numFmtId="0" fontId="104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horizontal="left" vertical="center"/>
      <protection hidden="1"/>
    </xf>
    <xf numFmtId="0" fontId="98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horizontal="left" vertical="center"/>
      <protection hidden="1"/>
    </xf>
    <xf numFmtId="0" fontId="104" fillId="0" borderId="0" xfId="0" applyFont="1" applyAlignment="1" applyProtection="1">
      <alignment vertical="center"/>
      <protection hidden="1"/>
    </xf>
    <xf numFmtId="0" fontId="104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>
      <alignment vertical="center"/>
    </xf>
    <xf numFmtId="0" fontId="98" fillId="0" borderId="0" xfId="0" applyFont="1" applyAlignment="1" applyProtection="1">
      <alignment vertical="center"/>
      <protection hidden="1"/>
    </xf>
    <xf numFmtId="0" fontId="99" fillId="0" borderId="0" xfId="0" applyFont="1" applyAlignment="1" applyProtection="1">
      <alignment vertical="center"/>
      <protection hidden="1"/>
    </xf>
    <xf numFmtId="0" fontId="89" fillId="0" borderId="46" xfId="0" applyFont="1" applyBorder="1" applyAlignment="1" applyProtection="1">
      <alignment horizontal="right" vertical="center"/>
      <protection hidden="1"/>
    </xf>
    <xf numFmtId="0" fontId="89" fillId="0" borderId="34" xfId="0" applyFont="1" applyBorder="1" applyAlignment="1" applyProtection="1">
      <alignment horizontal="right" vertical="center"/>
      <protection hidden="1"/>
    </xf>
    <xf numFmtId="4" fontId="92" fillId="0" borderId="0" xfId="0" applyNumberFormat="1" applyFont="1" applyAlignment="1" applyProtection="1">
      <alignment vertical="center"/>
      <protection locked="0"/>
    </xf>
    <xf numFmtId="0" fontId="150" fillId="0" borderId="16" xfId="177" applyFont="1" applyBorder="1" applyAlignment="1">
      <alignment vertical="center"/>
      <protection/>
    </xf>
    <xf numFmtId="0" fontId="98" fillId="0" borderId="24" xfId="187" applyFont="1" applyBorder="1" applyAlignment="1" applyProtection="1">
      <alignment horizontal="left"/>
      <protection hidden="1"/>
    </xf>
    <xf numFmtId="4" fontId="98" fillId="0" borderId="47" xfId="76" applyNumberFormat="1" applyFont="1" applyBorder="1" applyAlignment="1">
      <alignment horizontal="right" vertical="center"/>
    </xf>
    <xf numFmtId="4" fontId="98" fillId="0" borderId="48" xfId="76" applyNumberFormat="1" applyFont="1" applyBorder="1" applyAlignment="1">
      <alignment horizontal="right" vertical="center"/>
    </xf>
    <xf numFmtId="4" fontId="148" fillId="0" borderId="47" xfId="76" applyNumberFormat="1" applyFont="1" applyBorder="1" applyAlignment="1">
      <alignment horizontal="right" vertical="center"/>
    </xf>
    <xf numFmtId="178" fontId="106" fillId="0" borderId="25" xfId="0" applyNumberFormat="1" applyFont="1" applyBorder="1" applyAlignment="1" applyProtection="1">
      <alignment horizontal="left" vertical="center"/>
      <protection hidden="1"/>
    </xf>
    <xf numFmtId="0" fontId="105" fillId="0" borderId="38" xfId="0" applyFont="1" applyBorder="1" applyAlignment="1">
      <alignment horizontal="right" vertical="center"/>
    </xf>
    <xf numFmtId="213" fontId="101" fillId="0" borderId="36" xfId="68" applyNumberFormat="1" applyFont="1" applyBorder="1" applyAlignment="1">
      <alignment horizontal="right" vertical="center"/>
    </xf>
    <xf numFmtId="213" fontId="93" fillId="0" borderId="16" xfId="68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171" fontId="105" fillId="0" borderId="39" xfId="68" applyFont="1" applyBorder="1" applyAlignment="1">
      <alignment vertical="center"/>
    </xf>
    <xf numFmtId="171" fontId="101" fillId="0" borderId="36" xfId="68" applyFont="1" applyBorder="1" applyAlignment="1">
      <alignment horizontal="left" vertical="center"/>
    </xf>
    <xf numFmtId="171" fontId="93" fillId="0" borderId="16" xfId="68" applyFont="1" applyBorder="1" applyAlignment="1">
      <alignment horizontal="left" vertical="center"/>
    </xf>
    <xf numFmtId="171" fontId="98" fillId="0" borderId="16" xfId="68" applyFont="1" applyBorder="1" applyAlignment="1">
      <alignment horizontal="left" vertical="center"/>
    </xf>
    <xf numFmtId="0" fontId="105" fillId="0" borderId="16" xfId="0" applyFont="1" applyBorder="1" applyAlignment="1">
      <alignment horizontal="center" vertical="center"/>
    </xf>
    <xf numFmtId="1" fontId="105" fillId="0" borderId="16" xfId="68" applyNumberFormat="1" applyFont="1" applyBorder="1" applyAlignment="1">
      <alignment horizontal="center" vertical="center"/>
    </xf>
    <xf numFmtId="171" fontId="105" fillId="0" borderId="16" xfId="0" applyNumberFormat="1" applyFont="1" applyBorder="1" applyAlignment="1">
      <alignment horizontal="left" vertical="center"/>
    </xf>
    <xf numFmtId="0" fontId="105" fillId="0" borderId="38" xfId="0" applyFont="1" applyBorder="1" applyAlignment="1">
      <alignment horizontal="center" vertical="center"/>
    </xf>
    <xf numFmtId="0" fontId="151" fillId="0" borderId="16" xfId="174" applyFont="1" applyBorder="1" applyAlignment="1">
      <alignment vertical="center"/>
      <protection/>
    </xf>
    <xf numFmtId="171" fontId="105" fillId="0" borderId="39" xfId="68" applyFont="1" applyFill="1" applyBorder="1" applyAlignment="1">
      <alignment vertical="center"/>
    </xf>
    <xf numFmtId="213" fontId="97" fillId="0" borderId="24" xfId="0" applyNumberFormat="1" applyFont="1" applyFill="1" applyBorder="1" applyAlignment="1">
      <alignment vertical="center"/>
    </xf>
    <xf numFmtId="213" fontId="96" fillId="0" borderId="16" xfId="68" applyNumberFormat="1" applyFont="1" applyFill="1" applyBorder="1" applyAlignment="1">
      <alignment vertical="center"/>
    </xf>
    <xf numFmtId="213" fontId="97" fillId="0" borderId="16" xfId="68" applyNumberFormat="1" applyFont="1" applyFill="1" applyBorder="1" applyAlignment="1">
      <alignment vertical="center"/>
    </xf>
    <xf numFmtId="213" fontId="148" fillId="0" borderId="16" xfId="80" applyNumberFormat="1" applyFont="1" applyBorder="1" applyAlignment="1">
      <alignment horizontal="center" vertical="center"/>
    </xf>
    <xf numFmtId="0" fontId="147" fillId="0" borderId="16" xfId="174" applyFont="1" applyBorder="1" applyAlignment="1">
      <alignment horizontal="center" vertical="center"/>
      <protection/>
    </xf>
    <xf numFmtId="213" fontId="92" fillId="0" borderId="36" xfId="68" applyNumberFormat="1" applyFont="1" applyBorder="1" applyAlignment="1">
      <alignment horizontal="right" vertical="center"/>
    </xf>
    <xf numFmtId="213" fontId="100" fillId="0" borderId="36" xfId="68" applyNumberFormat="1" applyFont="1" applyBorder="1" applyAlignment="1">
      <alignment horizontal="right" vertical="center"/>
    </xf>
    <xf numFmtId="213" fontId="92" fillId="0" borderId="16" xfId="68" applyNumberFormat="1" applyFont="1" applyBorder="1" applyAlignment="1">
      <alignment horizontal="right" vertical="center"/>
    </xf>
    <xf numFmtId="4" fontId="97" fillId="0" borderId="24" xfId="68" applyNumberFormat="1" applyFont="1" applyFill="1" applyBorder="1" applyAlignment="1">
      <alignment vertical="center"/>
    </xf>
    <xf numFmtId="4" fontId="97" fillId="0" borderId="16" xfId="68" applyNumberFormat="1" applyFont="1" applyFill="1" applyBorder="1" applyAlignment="1">
      <alignment vertical="center"/>
    </xf>
    <xf numFmtId="4" fontId="148" fillId="0" borderId="24" xfId="181" applyNumberFormat="1" applyFont="1" applyFill="1" applyBorder="1" applyAlignment="1">
      <alignment vertical="center"/>
      <protection/>
    </xf>
    <xf numFmtId="208" fontId="148" fillId="0" borderId="16" xfId="177" applyNumberFormat="1" applyFont="1" applyBorder="1" applyAlignment="1">
      <alignment horizontal="center" vertical="center"/>
      <protection/>
    </xf>
    <xf numFmtId="2" fontId="148" fillId="0" borderId="16" xfId="174" applyNumberFormat="1" applyFont="1" applyBorder="1" applyAlignment="1">
      <alignment horizontal="center" vertical="center"/>
      <protection/>
    </xf>
    <xf numFmtId="2" fontId="147" fillId="0" borderId="16" xfId="173" applyNumberFormat="1" applyFont="1" applyBorder="1" applyAlignment="1">
      <alignment horizontal="center" vertical="center"/>
      <protection/>
    </xf>
    <xf numFmtId="2" fontId="148" fillId="0" borderId="16" xfId="173" applyNumberFormat="1" applyFont="1" applyBorder="1" applyAlignment="1">
      <alignment horizontal="center" vertical="center"/>
      <protection/>
    </xf>
    <xf numFmtId="0" fontId="148" fillId="0" borderId="16" xfId="174" applyFont="1" applyBorder="1" applyAlignment="1">
      <alignment horizontal="left" vertical="center"/>
      <protection/>
    </xf>
    <xf numFmtId="0" fontId="148" fillId="0" borderId="16" xfId="177" applyFont="1" applyBorder="1" applyAlignment="1">
      <alignment horizontal="left" vertical="center"/>
      <protection/>
    </xf>
    <xf numFmtId="4" fontId="100" fillId="0" borderId="16" xfId="195" applyNumberFormat="1" applyFont="1" applyFill="1" applyBorder="1" applyAlignment="1">
      <alignment horizontal="right" vertical="center"/>
      <protection/>
    </xf>
    <xf numFmtId="4" fontId="92" fillId="0" borderId="16" xfId="195" applyNumberFormat="1" applyFont="1" applyFill="1" applyBorder="1" applyAlignment="1">
      <alignment horizontal="right" vertical="center"/>
      <protection/>
    </xf>
    <xf numFmtId="4" fontId="98" fillId="0" borderId="16" xfId="195" applyNumberFormat="1" applyFont="1" applyFill="1" applyBorder="1" applyAlignment="1">
      <alignment horizontal="right" vertical="center"/>
      <protection/>
    </xf>
    <xf numFmtId="0" fontId="148" fillId="0" borderId="16" xfId="173" applyFont="1" applyBorder="1" applyAlignment="1">
      <alignment horizontal="center" vertical="center"/>
      <protection/>
    </xf>
    <xf numFmtId="0" fontId="93" fillId="0" borderId="0" xfId="182" applyFont="1" applyBorder="1" applyAlignment="1">
      <alignment vertical="center"/>
      <protection/>
    </xf>
    <xf numFmtId="0" fontId="152" fillId="0" borderId="0" xfId="182" applyFont="1" applyBorder="1" applyAlignment="1">
      <alignment horizontal="center" vertical="center"/>
      <protection/>
    </xf>
    <xf numFmtId="0" fontId="130" fillId="0" borderId="0" xfId="182">
      <alignment/>
      <protection/>
    </xf>
    <xf numFmtId="0" fontId="152" fillId="0" borderId="0" xfId="182" applyFont="1">
      <alignment/>
      <protection/>
    </xf>
    <xf numFmtId="0" fontId="153" fillId="0" borderId="0" xfId="182" applyFont="1">
      <alignment/>
      <protection/>
    </xf>
    <xf numFmtId="0" fontId="152" fillId="0" borderId="0" xfId="182" applyFont="1" applyAlignment="1">
      <alignment horizontal="left"/>
      <protection/>
    </xf>
    <xf numFmtId="0" fontId="152" fillId="0" borderId="0" xfId="182" applyFont="1" applyAlignment="1">
      <alignment horizontal="right"/>
      <protection/>
    </xf>
    <xf numFmtId="0" fontId="152" fillId="0" borderId="49" xfId="182" applyFont="1" applyBorder="1">
      <alignment/>
      <protection/>
    </xf>
    <xf numFmtId="0" fontId="153" fillId="0" borderId="18" xfId="182" applyFont="1" applyBorder="1" applyAlignment="1">
      <alignment horizontal="center"/>
      <protection/>
    </xf>
    <xf numFmtId="0" fontId="152" fillId="0" borderId="42" xfId="182" applyFont="1" applyBorder="1">
      <alignment/>
      <protection/>
    </xf>
    <xf numFmtId="0" fontId="152" fillId="0" borderId="50" xfId="182" applyFont="1" applyBorder="1">
      <alignment/>
      <protection/>
    </xf>
    <xf numFmtId="0" fontId="152" fillId="0" borderId="16" xfId="182" applyFont="1" applyBorder="1" applyAlignment="1">
      <alignment horizontal="center"/>
      <protection/>
    </xf>
    <xf numFmtId="0" fontId="152" fillId="0" borderId="24" xfId="182" applyFont="1" applyBorder="1">
      <alignment/>
      <protection/>
    </xf>
    <xf numFmtId="0" fontId="152" fillId="0" borderId="16" xfId="182" applyFont="1" applyBorder="1">
      <alignment/>
      <protection/>
    </xf>
    <xf numFmtId="0" fontId="130" fillId="0" borderId="24" xfId="182" applyBorder="1" applyAlignment="1">
      <alignment horizontal="right"/>
      <protection/>
    </xf>
    <xf numFmtId="0" fontId="153" fillId="0" borderId="24" xfId="182" applyFont="1" applyBorder="1">
      <alignment/>
      <protection/>
    </xf>
    <xf numFmtId="4" fontId="98" fillId="0" borderId="36" xfId="77" applyNumberFormat="1" applyFont="1" applyBorder="1" applyAlignment="1">
      <alignment horizontal="right" vertical="center"/>
    </xf>
    <xf numFmtId="0" fontId="153" fillId="0" borderId="51" xfId="182" applyFont="1" applyBorder="1">
      <alignment/>
      <protection/>
    </xf>
    <xf numFmtId="0" fontId="152" fillId="0" borderId="51" xfId="182" applyFont="1" applyBorder="1">
      <alignment/>
      <protection/>
    </xf>
    <xf numFmtId="0" fontId="152" fillId="0" borderId="24" xfId="182" applyFont="1" applyBorder="1" applyAlignment="1">
      <alignment horizontal="center"/>
      <protection/>
    </xf>
    <xf numFmtId="0" fontId="130" fillId="0" borderId="24" xfId="182" applyBorder="1" applyAlignment="1">
      <alignment horizontal="left"/>
      <protection/>
    </xf>
    <xf numFmtId="0" fontId="154" fillId="0" borderId="0" xfId="182" applyFont="1" applyAlignment="1" quotePrefix="1">
      <alignment horizontal="right"/>
      <protection/>
    </xf>
    <xf numFmtId="0" fontId="154" fillId="0" borderId="0" xfId="182" applyFont="1">
      <alignment/>
      <protection/>
    </xf>
    <xf numFmtId="0" fontId="155" fillId="0" borderId="52" xfId="182" applyFont="1" applyBorder="1">
      <alignment/>
      <protection/>
    </xf>
    <xf numFmtId="0" fontId="155" fillId="0" borderId="0" xfId="182" applyFont="1">
      <alignment/>
      <protection/>
    </xf>
    <xf numFmtId="0" fontId="154" fillId="0" borderId="0" xfId="182" applyFont="1" applyBorder="1">
      <alignment/>
      <protection/>
    </xf>
    <xf numFmtId="0" fontId="152" fillId="0" borderId="24" xfId="182" applyFont="1" applyBorder="1" applyAlignment="1">
      <alignment horizontal="left"/>
      <protection/>
    </xf>
    <xf numFmtId="0" fontId="153" fillId="0" borderId="0" xfId="182" applyFont="1" applyAlignment="1">
      <alignment horizontal="center"/>
      <protection/>
    </xf>
    <xf numFmtId="0" fontId="153" fillId="0" borderId="24" xfId="182" applyFont="1" applyBorder="1" applyAlignment="1">
      <alignment horizontal="center"/>
      <protection/>
    </xf>
    <xf numFmtId="0" fontId="93" fillId="0" borderId="24" xfId="182" applyFont="1" applyBorder="1">
      <alignment/>
      <protection/>
    </xf>
    <xf numFmtId="0" fontId="154" fillId="0" borderId="52" xfId="182" applyFont="1" applyBorder="1">
      <alignment/>
      <protection/>
    </xf>
    <xf numFmtId="171" fontId="152" fillId="0" borderId="0" xfId="103" applyNumberFormat="1" applyFont="1" applyAlignment="1">
      <alignment/>
    </xf>
    <xf numFmtId="4" fontId="99" fillId="0" borderId="16" xfId="77" applyNumberFormat="1" applyFont="1" applyBorder="1" applyAlignment="1">
      <alignment horizontal="right" vertical="center"/>
    </xf>
    <xf numFmtId="0" fontId="105" fillId="0" borderId="16" xfId="0" applyFont="1" applyBorder="1" applyAlignment="1">
      <alignment horizontal="left" vertical="center"/>
    </xf>
    <xf numFmtId="213" fontId="93" fillId="0" borderId="36" xfId="68" applyNumberFormat="1" applyFont="1" applyBorder="1" applyAlignment="1">
      <alignment horizontal="right" vertical="center"/>
    </xf>
    <xf numFmtId="171" fontId="105" fillId="0" borderId="0" xfId="0" applyNumberFormat="1" applyFont="1" applyAlignment="1">
      <alignment vertical="center"/>
    </xf>
    <xf numFmtId="0" fontId="96" fillId="0" borderId="36" xfId="0" applyFont="1" applyFill="1" applyBorder="1" applyAlignment="1">
      <alignment horizontal="left" vertical="center"/>
    </xf>
    <xf numFmtId="1" fontId="94" fillId="0" borderId="36" xfId="68" applyNumberFormat="1" applyFont="1" applyFill="1" applyBorder="1" applyAlignment="1">
      <alignment horizontal="center" vertical="center"/>
    </xf>
    <xf numFmtId="0" fontId="94" fillId="0" borderId="36" xfId="0" applyFont="1" applyFill="1" applyBorder="1" applyAlignment="1">
      <alignment horizontal="center" vertical="center"/>
    </xf>
    <xf numFmtId="171" fontId="99" fillId="0" borderId="36" xfId="68" applyFont="1" applyFill="1" applyBorder="1" applyAlignment="1">
      <alignment horizontal="left" vertical="center"/>
    </xf>
    <xf numFmtId="171" fontId="92" fillId="0" borderId="36" xfId="68" applyFont="1" applyFill="1" applyBorder="1" applyAlignment="1">
      <alignment horizontal="left" vertical="center"/>
    </xf>
    <xf numFmtId="171" fontId="100" fillId="0" borderId="36" xfId="68" applyFont="1" applyFill="1" applyBorder="1" applyAlignment="1">
      <alignment horizontal="left" vertical="center"/>
    </xf>
    <xf numFmtId="171" fontId="92" fillId="0" borderId="36" xfId="68" applyFont="1" applyFill="1" applyBorder="1" applyAlignment="1">
      <alignment vertical="center"/>
    </xf>
    <xf numFmtId="2" fontId="97" fillId="0" borderId="51" xfId="0" applyNumberFormat="1" applyFont="1" applyFill="1" applyBorder="1" applyAlignment="1">
      <alignment vertical="center"/>
    </xf>
    <xf numFmtId="2" fontId="148" fillId="0" borderId="36" xfId="173" applyNumberFormat="1" applyFont="1" applyBorder="1" applyAlignment="1">
      <alignment horizontal="center" vertical="center"/>
      <protection/>
    </xf>
    <xf numFmtId="4" fontId="98" fillId="0" borderId="36" xfId="76" applyNumberFormat="1" applyFont="1" applyBorder="1" applyAlignment="1">
      <alignment horizontal="right" vertical="center"/>
    </xf>
    <xf numFmtId="4" fontId="98" fillId="0" borderId="53" xfId="76" applyNumberFormat="1" applyFont="1" applyBorder="1" applyAlignment="1">
      <alignment horizontal="right" vertical="center"/>
    </xf>
    <xf numFmtId="4" fontId="148" fillId="0" borderId="36" xfId="76" applyNumberFormat="1" applyFont="1" applyBorder="1" applyAlignment="1">
      <alignment horizontal="right" vertical="center"/>
    </xf>
    <xf numFmtId="171" fontId="148" fillId="0" borderId="54" xfId="80" applyNumberFormat="1" applyFont="1" applyBorder="1" applyAlignment="1">
      <alignment horizontal="center" vertical="center"/>
    </xf>
    <xf numFmtId="0" fontId="148" fillId="0" borderId="47" xfId="173" applyFont="1" applyBorder="1" applyAlignment="1">
      <alignment vertical="center"/>
      <protection/>
    </xf>
    <xf numFmtId="2" fontId="97" fillId="0" borderId="55" xfId="0" applyNumberFormat="1" applyFont="1" applyFill="1" applyBorder="1" applyAlignment="1">
      <alignment vertical="center"/>
    </xf>
    <xf numFmtId="2" fontId="148" fillId="0" borderId="47" xfId="173" applyNumberFormat="1" applyFont="1" applyBorder="1" applyAlignment="1">
      <alignment horizontal="center" vertical="center"/>
      <protection/>
    </xf>
    <xf numFmtId="171" fontId="94" fillId="0" borderId="56" xfId="68" applyFont="1" applyFill="1" applyBorder="1" applyAlignment="1">
      <alignment vertical="center"/>
    </xf>
    <xf numFmtId="181" fontId="147" fillId="0" borderId="57" xfId="81" applyNumberFormat="1" applyFont="1" applyBorder="1" applyAlignment="1">
      <alignment horizontal="center" vertical="center"/>
    </xf>
    <xf numFmtId="0" fontId="147" fillId="0" borderId="36" xfId="174" applyFont="1" applyBorder="1" applyAlignment="1">
      <alignment vertical="center"/>
      <protection/>
    </xf>
    <xf numFmtId="4" fontId="97" fillId="0" borderId="51" xfId="181" applyNumberFormat="1" applyFont="1" applyFill="1" applyBorder="1" applyAlignment="1">
      <alignment vertical="center"/>
      <protection/>
    </xf>
    <xf numFmtId="2" fontId="148" fillId="0" borderId="36" xfId="174" applyNumberFormat="1" applyFont="1" applyBorder="1" applyAlignment="1">
      <alignment horizontal="left" vertical="center"/>
      <protection/>
    </xf>
    <xf numFmtId="171" fontId="94" fillId="0" borderId="37" xfId="102" applyFont="1" applyFill="1" applyBorder="1" applyAlignment="1">
      <alignment vertical="center"/>
    </xf>
    <xf numFmtId="181" fontId="147" fillId="0" borderId="54" xfId="81" applyNumberFormat="1" applyFont="1" applyBorder="1" applyAlignment="1">
      <alignment horizontal="center" vertical="center"/>
    </xf>
    <xf numFmtId="0" fontId="147" fillId="0" borderId="47" xfId="174" applyFont="1" applyBorder="1" applyAlignment="1">
      <alignment vertical="center"/>
      <protection/>
    </xf>
    <xf numFmtId="4" fontId="97" fillId="0" borderId="55" xfId="181" applyNumberFormat="1" applyFont="1" applyFill="1" applyBorder="1" applyAlignment="1">
      <alignment vertical="center"/>
      <protection/>
    </xf>
    <xf numFmtId="2" fontId="148" fillId="0" borderId="47" xfId="174" applyNumberFormat="1" applyFont="1" applyBorder="1" applyAlignment="1">
      <alignment horizontal="left" vertical="center"/>
      <protection/>
    </xf>
    <xf numFmtId="4" fontId="98" fillId="0" borderId="47" xfId="77" applyNumberFormat="1" applyFont="1" applyBorder="1" applyAlignment="1">
      <alignment horizontal="right" vertical="center"/>
    </xf>
    <xf numFmtId="171" fontId="94" fillId="0" borderId="56" xfId="102" applyFont="1" applyFill="1" applyBorder="1" applyAlignment="1">
      <alignment vertical="center"/>
    </xf>
    <xf numFmtId="169" fontId="98" fillId="0" borderId="16" xfId="0" applyNumberFormat="1" applyFont="1" applyBorder="1" applyAlignment="1" applyProtection="1">
      <alignment vertical="center"/>
      <protection hidden="1"/>
    </xf>
    <xf numFmtId="0" fontId="99" fillId="0" borderId="24" xfId="0" applyFont="1" applyBorder="1" applyAlignment="1">
      <alignment/>
    </xf>
    <xf numFmtId="0" fontId="98" fillId="0" borderId="16" xfId="177" applyFont="1" applyBorder="1" applyAlignment="1">
      <alignment vertical="center"/>
      <protection/>
    </xf>
    <xf numFmtId="4" fontId="98" fillId="0" borderId="24" xfId="181" applyNumberFormat="1" applyFont="1" applyFill="1" applyBorder="1" applyAlignment="1">
      <alignment vertical="center"/>
      <protection/>
    </xf>
    <xf numFmtId="181" fontId="147" fillId="0" borderId="44" xfId="80" applyNumberFormat="1" applyFont="1" applyBorder="1" applyAlignment="1">
      <alignment horizontal="right" vertical="center"/>
    </xf>
    <xf numFmtId="171" fontId="148" fillId="0" borderId="44" xfId="80" applyNumberFormat="1" applyFont="1" applyBorder="1" applyAlignment="1">
      <alignment horizontal="right" vertical="center"/>
    </xf>
    <xf numFmtId="199" fontId="147" fillId="0" borderId="44" xfId="80" applyNumberFormat="1" applyFont="1" applyBorder="1" applyAlignment="1">
      <alignment horizontal="right" vertical="center"/>
    </xf>
    <xf numFmtId="199" fontId="147" fillId="0" borderId="44" xfId="81" applyNumberFormat="1" applyFont="1" applyBorder="1" applyAlignment="1">
      <alignment horizontal="center" vertical="center"/>
    </xf>
    <xf numFmtId="171" fontId="148" fillId="0" borderId="54" xfId="81" applyNumberFormat="1" applyFont="1" applyBorder="1" applyAlignment="1">
      <alignment horizontal="center" vertical="center"/>
    </xf>
    <xf numFmtId="0" fontId="148" fillId="0" borderId="47" xfId="174" applyFont="1" applyBorder="1" applyAlignment="1">
      <alignment vertical="center"/>
      <protection/>
    </xf>
    <xf numFmtId="2" fontId="148" fillId="0" borderId="47" xfId="174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6" fillId="0" borderId="0" xfId="68" applyNumberFormat="1" applyFont="1" applyAlignment="1">
      <alignment/>
    </xf>
    <xf numFmtId="49" fontId="12" fillId="0" borderId="0" xfId="0" applyNumberFormat="1" applyFont="1" applyAlignment="1">
      <alignment horizontal="left" indent="1"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78" fontId="5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Alignment="1">
      <alignment/>
    </xf>
    <xf numFmtId="169" fontId="0" fillId="0" borderId="15" xfId="68" applyNumberFormat="1" applyFon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83" fontId="5" fillId="0" borderId="25" xfId="0" applyNumberFormat="1" applyFont="1" applyBorder="1" applyAlignment="1">
      <alignment horizontal="center"/>
    </xf>
    <xf numFmtId="183" fontId="5" fillId="0" borderId="26" xfId="0" applyNumberFormat="1" applyFont="1" applyBorder="1" applyAlignment="1">
      <alignment horizontal="center"/>
    </xf>
    <xf numFmtId="184" fontId="1" fillId="0" borderId="23" xfId="0" applyNumberFormat="1" applyFont="1" applyBorder="1" applyAlignment="1">
      <alignment horizontal="left" indent="4"/>
    </xf>
    <xf numFmtId="178" fontId="1" fillId="0" borderId="0" xfId="0" applyNumberFormat="1" applyFont="1" applyAlignment="1">
      <alignment horizontal="left" indent="1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183" fontId="5" fillId="0" borderId="15" xfId="0" applyNumberFormat="1" applyFont="1" applyBorder="1" applyAlignment="1">
      <alignment horizontal="center"/>
    </xf>
    <xf numFmtId="183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83" fontId="5" fillId="0" borderId="16" xfId="0" applyNumberFormat="1" applyFon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92" fillId="0" borderId="0" xfId="0" applyFont="1" applyFill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/>
      <protection hidden="1"/>
    </xf>
    <xf numFmtId="0" fontId="92" fillId="0" borderId="0" xfId="0" applyFont="1" applyAlignment="1" applyProtection="1">
      <alignment horizontal="left" vertical="center"/>
      <protection/>
    </xf>
    <xf numFmtId="0" fontId="92" fillId="0" borderId="0" xfId="0" applyFont="1" applyBorder="1" applyAlignment="1" applyProtection="1">
      <alignment horizontal="left" vertical="center"/>
      <protection locked="0"/>
    </xf>
    <xf numFmtId="0" fontId="92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left" vertical="center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92" fillId="0" borderId="58" xfId="0" applyFont="1" applyBorder="1" applyAlignment="1" applyProtection="1">
      <alignment horizontal="center" vertical="center"/>
      <protection hidden="1"/>
    </xf>
    <xf numFmtId="0" fontId="92" fillId="0" borderId="59" xfId="0" applyFont="1" applyBorder="1" applyAlignment="1" applyProtection="1">
      <alignment horizontal="center" vertical="center"/>
      <protection hidden="1"/>
    </xf>
    <xf numFmtId="0" fontId="92" fillId="0" borderId="60" xfId="0" applyFont="1" applyBorder="1" applyAlignment="1" applyProtection="1">
      <alignment horizontal="center" vertical="center"/>
      <protection hidden="1"/>
    </xf>
    <xf numFmtId="0" fontId="92" fillId="0" borderId="61" xfId="0" applyFont="1" applyBorder="1" applyAlignment="1" applyProtection="1">
      <alignment horizontal="center" vertical="center"/>
      <protection hidden="1"/>
    </xf>
    <xf numFmtId="49" fontId="92" fillId="0" borderId="62" xfId="0" applyNumberFormat="1" applyFont="1" applyBorder="1" applyAlignment="1" applyProtection="1">
      <alignment horizontal="center" vertical="center"/>
      <protection hidden="1"/>
    </xf>
    <xf numFmtId="49" fontId="92" fillId="0" borderId="9" xfId="0" applyNumberFormat="1" applyFont="1" applyBorder="1" applyAlignment="1" applyProtection="1">
      <alignment horizontal="center" vertical="center"/>
      <protection hidden="1"/>
    </xf>
    <xf numFmtId="0" fontId="92" fillId="0" borderId="62" xfId="0" applyFont="1" applyBorder="1" applyAlignment="1" applyProtection="1">
      <alignment horizontal="center" vertical="center" wrapText="1"/>
      <protection hidden="1"/>
    </xf>
    <xf numFmtId="0" fontId="92" fillId="0" borderId="9" xfId="0" applyFont="1" applyBorder="1" applyAlignment="1" applyProtection="1">
      <alignment horizontal="center" vertical="center"/>
      <protection hidden="1"/>
    </xf>
    <xf numFmtId="0" fontId="92" fillId="0" borderId="62" xfId="0" applyFont="1" applyBorder="1" applyAlignment="1" applyProtection="1">
      <alignment horizontal="center" vertical="center"/>
      <protection hidden="1"/>
    </xf>
    <xf numFmtId="1" fontId="92" fillId="0" borderId="63" xfId="0" applyNumberFormat="1" applyFont="1" applyBorder="1" applyAlignment="1" applyProtection="1">
      <alignment horizontal="center" vertical="center"/>
      <protection hidden="1"/>
    </xf>
    <xf numFmtId="1" fontId="92" fillId="0" borderId="14" xfId="0" applyNumberFormat="1" applyFont="1" applyBorder="1" applyAlignment="1" applyProtection="1">
      <alignment horizontal="center" vertical="center"/>
      <protection hidden="1"/>
    </xf>
    <xf numFmtId="0" fontId="98" fillId="0" borderId="20" xfId="0" applyFont="1" applyBorder="1" applyAlignment="1" applyProtection="1">
      <alignment horizontal="left" vertical="top" indent="1"/>
      <protection hidden="1"/>
    </xf>
    <xf numFmtId="169" fontId="98" fillId="0" borderId="16" xfId="0" applyNumberFormat="1" applyFont="1" applyBorder="1" applyAlignment="1" applyProtection="1">
      <alignment horizontal="center"/>
      <protection hidden="1"/>
    </xf>
    <xf numFmtId="177" fontId="98" fillId="0" borderId="16" xfId="0" applyNumberFormat="1" applyFont="1" applyBorder="1" applyAlignment="1" applyProtection="1">
      <alignment horizontal="center"/>
      <protection hidden="1"/>
    </xf>
    <xf numFmtId="0" fontId="98" fillId="0" borderId="16" xfId="0" applyFont="1" applyBorder="1" applyAlignment="1" applyProtection="1">
      <alignment/>
      <protection hidden="1"/>
    </xf>
    <xf numFmtId="179" fontId="99" fillId="0" borderId="25" xfId="0" applyNumberFormat="1" applyFont="1" applyBorder="1" applyAlignment="1" applyProtection="1">
      <alignment/>
      <protection hidden="1"/>
    </xf>
    <xf numFmtId="179" fontId="99" fillId="0" borderId="24" xfId="0" applyNumberFormat="1" applyFont="1" applyBorder="1" applyAlignment="1" applyProtection="1">
      <alignment/>
      <protection hidden="1"/>
    </xf>
    <xf numFmtId="179" fontId="99" fillId="0" borderId="26" xfId="0" applyNumberFormat="1" applyFont="1" applyBorder="1" applyAlignment="1" applyProtection="1">
      <alignment/>
      <protection hidden="1"/>
    </xf>
    <xf numFmtId="0" fontId="98" fillId="0" borderId="64" xfId="0" applyFont="1" applyBorder="1" applyAlignment="1" applyProtection="1">
      <alignment horizontal="left" indent="2"/>
      <protection hidden="1"/>
    </xf>
    <xf numFmtId="0" fontId="98" fillId="0" borderId="34" xfId="0" applyFont="1" applyBorder="1" applyAlignment="1" applyProtection="1">
      <alignment horizontal="left" indent="2"/>
      <protection hidden="1"/>
    </xf>
    <xf numFmtId="0" fontId="98" fillId="0" borderId="34" xfId="0" applyFont="1" applyBorder="1" applyAlignment="1" applyProtection="1">
      <alignment horizontal="center"/>
      <protection hidden="1"/>
    </xf>
    <xf numFmtId="0" fontId="98" fillId="0" borderId="22" xfId="0" applyFont="1" applyBorder="1" applyAlignment="1" applyProtection="1">
      <alignment horizontal="center"/>
      <protection hidden="1"/>
    </xf>
    <xf numFmtId="0" fontId="98" fillId="0" borderId="65" xfId="0" applyFont="1" applyBorder="1" applyAlignment="1" applyProtection="1">
      <alignment horizontal="left" vertical="top" indent="2"/>
      <protection hidden="1"/>
    </xf>
    <xf numFmtId="0" fontId="98" fillId="0" borderId="45" xfId="0" applyFont="1" applyBorder="1" applyAlignment="1" applyProtection="1">
      <alignment horizontal="left" vertical="top" indent="2"/>
      <protection hidden="1"/>
    </xf>
    <xf numFmtId="0" fontId="98" fillId="0" borderId="66" xfId="0" applyFont="1" applyBorder="1" applyAlignment="1" applyProtection="1">
      <alignment horizontal="left" vertical="top" indent="2"/>
      <protection hidden="1"/>
    </xf>
    <xf numFmtId="197" fontId="98" fillId="0" borderId="17" xfId="0" applyNumberFormat="1" applyFont="1" applyBorder="1" applyAlignment="1" applyProtection="1">
      <alignment horizontal="center" vertical="top"/>
      <protection locked="0"/>
    </xf>
    <xf numFmtId="197" fontId="98" fillId="0" borderId="14" xfId="0" applyNumberFormat="1" applyFont="1" applyBorder="1" applyAlignment="1" applyProtection="1">
      <alignment horizontal="center" vertical="top"/>
      <protection locked="0"/>
    </xf>
    <xf numFmtId="0" fontId="98" fillId="0" borderId="51" xfId="0" applyFont="1" applyBorder="1" applyAlignment="1" applyProtection="1">
      <alignment horizontal="center"/>
      <protection hidden="1"/>
    </xf>
    <xf numFmtId="0" fontId="98" fillId="0" borderId="45" xfId="0" applyFont="1" applyBorder="1" applyAlignment="1" applyProtection="1">
      <alignment/>
      <protection hidden="1"/>
    </xf>
    <xf numFmtId="0" fontId="98" fillId="0" borderId="66" xfId="0" applyFont="1" applyBorder="1" applyAlignment="1" applyProtection="1">
      <alignment/>
      <protection hidden="1"/>
    </xf>
    <xf numFmtId="0" fontId="98" fillId="0" borderId="34" xfId="0" applyFont="1" applyBorder="1" applyAlignment="1" applyProtection="1">
      <alignment horizontal="center" vertical="top"/>
      <protection hidden="1"/>
    </xf>
    <xf numFmtId="0" fontId="98" fillId="0" borderId="16" xfId="0" applyFont="1" applyBorder="1" applyAlignment="1" applyProtection="1">
      <alignment horizontal="left" vertical="center" indent="2"/>
      <protection hidden="1"/>
    </xf>
    <xf numFmtId="0" fontId="98" fillId="0" borderId="25" xfId="0" applyFont="1" applyBorder="1" applyAlignment="1" applyProtection="1">
      <alignment horizontal="left" vertical="center" indent="2"/>
      <protection hidden="1"/>
    </xf>
    <xf numFmtId="0" fontId="98" fillId="0" borderId="36" xfId="0" applyFont="1" applyBorder="1" applyAlignment="1" applyProtection="1">
      <alignment horizontal="left" vertical="center" indent="2"/>
      <protection hidden="1"/>
    </xf>
    <xf numFmtId="0" fontId="98" fillId="0" borderId="53" xfId="0" applyFont="1" applyBorder="1" applyAlignment="1" applyProtection="1">
      <alignment horizontal="left" vertical="center" indent="2"/>
      <protection hidden="1"/>
    </xf>
    <xf numFmtId="197" fontId="98" fillId="0" borderId="67" xfId="0" applyNumberFormat="1" applyFont="1" applyBorder="1" applyAlignment="1" applyProtection="1">
      <alignment horizontal="center" vertical="top"/>
      <protection locked="0"/>
    </xf>
    <xf numFmtId="197" fontId="98" fillId="0" borderId="36" xfId="0" applyNumberFormat="1" applyFont="1" applyBorder="1" applyAlignment="1" applyProtection="1">
      <alignment horizontal="center" vertical="top"/>
      <protection locked="0"/>
    </xf>
    <xf numFmtId="0" fontId="98" fillId="0" borderId="46" xfId="0" applyFont="1" applyBorder="1" applyAlignment="1" applyProtection="1">
      <alignment vertical="top"/>
      <protection hidden="1"/>
    </xf>
    <xf numFmtId="0" fontId="98" fillId="0" borderId="46" xfId="0" applyFont="1" applyBorder="1" applyAlignment="1" applyProtection="1">
      <alignment horizontal="left" vertical="top" indent="2"/>
      <protection hidden="1"/>
    </xf>
    <xf numFmtId="197" fontId="98" fillId="0" borderId="26" xfId="0" applyNumberFormat="1" applyFont="1" applyBorder="1" applyAlignment="1" applyProtection="1">
      <alignment horizontal="center" vertical="top"/>
      <protection locked="0"/>
    </xf>
    <xf numFmtId="197" fontId="98" fillId="0" borderId="16" xfId="0" applyNumberFormat="1" applyFont="1" applyBorder="1" applyAlignment="1" applyProtection="1">
      <alignment horizontal="center" vertical="top"/>
      <protection locked="0"/>
    </xf>
    <xf numFmtId="0" fontId="100" fillId="0" borderId="0" xfId="0" applyFont="1" applyAlignment="1" applyProtection="1">
      <alignment horizontal="center" vertical="top"/>
      <protection hidden="1"/>
    </xf>
    <xf numFmtId="0" fontId="100" fillId="0" borderId="23" xfId="0" applyFont="1" applyBorder="1" applyAlignment="1" applyProtection="1">
      <alignment horizontal="center" vertical="top"/>
      <protection hidden="1"/>
    </xf>
    <xf numFmtId="0" fontId="99" fillId="0" borderId="45" xfId="0" applyFont="1" applyBorder="1" applyAlignment="1" applyProtection="1">
      <alignment vertical="top"/>
      <protection hidden="1"/>
    </xf>
    <xf numFmtId="0" fontId="99" fillId="0" borderId="24" xfId="0" applyFont="1" applyBorder="1" applyAlignment="1" applyProtection="1">
      <alignment vertical="top"/>
      <protection hidden="1"/>
    </xf>
    <xf numFmtId="0" fontId="98" fillId="0" borderId="45" xfId="0" applyFont="1" applyBorder="1" applyAlignment="1" applyProtection="1">
      <alignment vertical="top"/>
      <protection locked="0"/>
    </xf>
    <xf numFmtId="171" fontId="98" fillId="0" borderId="46" xfId="68" applyNumberFormat="1" applyFont="1" applyBorder="1" applyAlignment="1" applyProtection="1">
      <alignment horizontal="center" vertical="top"/>
      <protection hidden="1"/>
    </xf>
    <xf numFmtId="0" fontId="98" fillId="0" borderId="51" xfId="0" applyFont="1" applyBorder="1" applyAlignment="1" applyProtection="1">
      <alignment horizontal="left" vertical="top" indent="2"/>
      <protection hidden="1"/>
    </xf>
    <xf numFmtId="171" fontId="98" fillId="0" borderId="51" xfId="68" applyNumberFormat="1" applyFont="1" applyFill="1" applyBorder="1" applyAlignment="1" applyProtection="1">
      <alignment horizontal="center" vertical="top"/>
      <protection locked="0"/>
    </xf>
    <xf numFmtId="0" fontId="98" fillId="0" borderId="46" xfId="0" applyFont="1" applyBorder="1" applyAlignment="1" applyProtection="1">
      <alignment horizontal="center"/>
      <protection hidden="1"/>
    </xf>
    <xf numFmtId="0" fontId="98" fillId="0" borderId="51" xfId="0" applyFont="1" applyBorder="1" applyAlignment="1" applyProtection="1">
      <alignment vertical="top"/>
      <protection hidden="1"/>
    </xf>
    <xf numFmtId="0" fontId="98" fillId="0" borderId="24" xfId="0" applyFont="1" applyBorder="1" applyAlignment="1" applyProtection="1">
      <alignment vertical="top"/>
      <protection locked="0"/>
    </xf>
    <xf numFmtId="0" fontId="98" fillId="0" borderId="24" xfId="0" applyFont="1" applyBorder="1" applyAlignment="1" applyProtection="1">
      <alignment vertical="top"/>
      <protection hidden="1"/>
    </xf>
    <xf numFmtId="0" fontId="99" fillId="0" borderId="21" xfId="0" applyFont="1" applyBorder="1" applyAlignment="1" applyProtection="1">
      <alignment horizontal="center" vertical="center"/>
      <protection hidden="1"/>
    </xf>
    <xf numFmtId="0" fontId="99" fillId="0" borderId="21" xfId="0" applyFont="1" applyBorder="1" applyAlignment="1" applyProtection="1">
      <alignment horizontal="center" vertical="center" wrapText="1"/>
      <protection hidden="1"/>
    </xf>
    <xf numFmtId="0" fontId="99" fillId="0" borderId="21" xfId="0" applyFont="1" applyBorder="1" applyAlignment="1" applyProtection="1">
      <alignment horizontal="center" wrapText="1"/>
      <protection hidden="1"/>
    </xf>
    <xf numFmtId="0" fontId="99" fillId="0" borderId="21" xfId="0" applyFont="1" applyBorder="1" applyAlignment="1" applyProtection="1">
      <alignment horizontal="center"/>
      <protection hidden="1"/>
    </xf>
    <xf numFmtId="0" fontId="102" fillId="0" borderId="36" xfId="0" applyFont="1" applyBorder="1" applyAlignment="1" applyProtection="1">
      <alignment horizontal="left" indent="1"/>
      <protection locked="0"/>
    </xf>
    <xf numFmtId="0" fontId="98" fillId="0" borderId="34" xfId="0" applyFont="1" applyBorder="1" applyAlignment="1" applyProtection="1">
      <alignment/>
      <protection hidden="1"/>
    </xf>
    <xf numFmtId="176" fontId="99" fillId="0" borderId="25" xfId="0" applyNumberFormat="1" applyFont="1" applyBorder="1" applyAlignment="1" applyProtection="1">
      <alignment/>
      <protection hidden="1"/>
    </xf>
    <xf numFmtId="176" fontId="99" fillId="0" borderId="24" xfId="0" applyNumberFormat="1" applyFont="1" applyBorder="1" applyAlignment="1" applyProtection="1">
      <alignment/>
      <protection hidden="1"/>
    </xf>
    <xf numFmtId="176" fontId="99" fillId="0" borderId="26" xfId="0" applyNumberFormat="1" applyFont="1" applyBorder="1" applyAlignment="1" applyProtection="1">
      <alignment/>
      <protection hidden="1"/>
    </xf>
    <xf numFmtId="207" fontId="98" fillId="0" borderId="16" xfId="0" applyNumberFormat="1" applyFont="1" applyBorder="1" applyAlignment="1" applyProtection="1">
      <alignment horizontal="center"/>
      <protection hidden="1"/>
    </xf>
    <xf numFmtId="0" fontId="99" fillId="0" borderId="46" xfId="0" applyFont="1" applyBorder="1" applyAlignment="1" applyProtection="1">
      <alignment vertical="top"/>
      <protection hidden="1"/>
    </xf>
    <xf numFmtId="0" fontId="99" fillId="0" borderId="51" xfId="0" applyFont="1" applyBorder="1" applyAlignment="1" applyProtection="1">
      <alignment vertical="top"/>
      <protection hidden="1"/>
    </xf>
    <xf numFmtId="0" fontId="98" fillId="0" borderId="24" xfId="0" applyFont="1" applyBorder="1" applyAlignment="1" applyProtection="1">
      <alignment horizontal="center" vertical="top"/>
      <protection hidden="1"/>
    </xf>
    <xf numFmtId="0" fontId="99" fillId="0" borderId="24" xfId="0" applyFont="1" applyBorder="1" applyAlignment="1" applyProtection="1">
      <alignment horizontal="left" vertical="top" indent="2"/>
      <protection hidden="1"/>
    </xf>
    <xf numFmtId="0" fontId="99" fillId="0" borderId="24" xfId="0" applyFont="1" applyBorder="1" applyAlignment="1" applyProtection="1">
      <alignment/>
      <protection hidden="1"/>
    </xf>
    <xf numFmtId="171" fontId="99" fillId="0" borderId="68" xfId="68" applyFont="1" applyBorder="1" applyAlignment="1" applyProtection="1">
      <alignment horizontal="center"/>
      <protection hidden="1"/>
    </xf>
    <xf numFmtId="171" fontId="99" fillId="0" borderId="49" xfId="68" applyFont="1" applyBorder="1" applyAlignment="1" applyProtection="1">
      <alignment horizontal="center"/>
      <protection hidden="1"/>
    </xf>
    <xf numFmtId="171" fontId="99" fillId="0" borderId="69" xfId="68" applyFont="1" applyBorder="1" applyAlignment="1" applyProtection="1">
      <alignment horizontal="center"/>
      <protection hidden="1"/>
    </xf>
    <xf numFmtId="0" fontId="98" fillId="0" borderId="14" xfId="0" applyFont="1" applyBorder="1" applyAlignment="1" applyProtection="1">
      <alignment/>
      <protection hidden="1"/>
    </xf>
    <xf numFmtId="0" fontId="98" fillId="0" borderId="64" xfId="0" applyFont="1" applyBorder="1" applyAlignment="1" applyProtection="1">
      <alignment horizontal="left" vertical="top" indent="1"/>
      <protection hidden="1"/>
    </xf>
    <xf numFmtId="0" fontId="98" fillId="0" borderId="22" xfId="0" applyFont="1" applyBorder="1" applyAlignment="1" applyProtection="1">
      <alignment horizontal="left" vertical="top" indent="1"/>
      <protection hidden="1"/>
    </xf>
    <xf numFmtId="0" fontId="103" fillId="0" borderId="1" xfId="0" applyFont="1" applyBorder="1" applyAlignment="1" applyProtection="1">
      <alignment horizontal="center" vertical="top"/>
      <protection hidden="1"/>
    </xf>
    <xf numFmtId="0" fontId="98" fillId="0" borderId="5" xfId="0" applyFont="1" applyBorder="1" applyAlignment="1" applyProtection="1">
      <alignment horizontal="center" vertical="top"/>
      <protection hidden="1"/>
    </xf>
    <xf numFmtId="0" fontId="98" fillId="0" borderId="70" xfId="0" applyFont="1" applyBorder="1" applyAlignment="1" applyProtection="1">
      <alignment horizontal="center" vertical="top"/>
      <protection hidden="1"/>
    </xf>
    <xf numFmtId="177" fontId="98" fillId="0" borderId="14" xfId="0" applyNumberFormat="1" applyFont="1" applyBorder="1" applyAlignment="1" applyProtection="1">
      <alignment horizontal="center"/>
      <protection hidden="1"/>
    </xf>
    <xf numFmtId="0" fontId="98" fillId="0" borderId="14" xfId="0" applyFont="1" applyBorder="1" applyAlignment="1" applyProtection="1">
      <alignment horizontal="left" vertical="center" indent="2"/>
      <protection hidden="1"/>
    </xf>
    <xf numFmtId="0" fontId="98" fillId="0" borderId="33" xfId="0" applyFont="1" applyBorder="1" applyAlignment="1" applyProtection="1">
      <alignment horizontal="left" vertical="center" indent="2"/>
      <protection hidden="1"/>
    </xf>
    <xf numFmtId="169" fontId="98" fillId="0" borderId="14" xfId="0" applyNumberFormat="1" applyFont="1" applyBorder="1" applyAlignment="1" applyProtection="1">
      <alignment horizontal="center"/>
      <protection hidden="1"/>
    </xf>
    <xf numFmtId="171" fontId="99" fillId="0" borderId="33" xfId="68" applyFont="1" applyBorder="1" applyAlignment="1" applyProtection="1">
      <alignment horizontal="center"/>
      <protection hidden="1"/>
    </xf>
    <xf numFmtId="171" fontId="99" fillId="0" borderId="23" xfId="68" applyFont="1" applyBorder="1" applyAlignment="1" applyProtection="1">
      <alignment horizontal="center"/>
      <protection hidden="1"/>
    </xf>
    <xf numFmtId="171" fontId="99" fillId="0" borderId="17" xfId="68" applyFont="1" applyBorder="1" applyAlignment="1" applyProtection="1">
      <alignment horizontal="center"/>
      <protection hidden="1"/>
    </xf>
    <xf numFmtId="179" fontId="99" fillId="0" borderId="64" xfId="0" applyNumberFormat="1" applyFont="1" applyBorder="1" applyAlignment="1" applyProtection="1">
      <alignment/>
      <protection hidden="1"/>
    </xf>
    <xf numFmtId="179" fontId="99" fillId="0" borderId="34" xfId="0" applyNumberFormat="1" applyFont="1" applyBorder="1" applyAlignment="1" applyProtection="1">
      <alignment/>
      <protection hidden="1"/>
    </xf>
    <xf numFmtId="179" fontId="99" fillId="0" borderId="22" xfId="0" applyNumberFormat="1" applyFont="1" applyBorder="1" applyAlignment="1" applyProtection="1">
      <alignment/>
      <protection hidden="1"/>
    </xf>
    <xf numFmtId="0" fontId="1" fillId="0" borderId="64" xfId="0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4" xfId="0" applyBorder="1" applyAlignment="1" applyProtection="1">
      <alignment horizontal="center" vertical="top"/>
      <protection hidden="1"/>
    </xf>
    <xf numFmtId="0" fontId="0" fillId="0" borderId="3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12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horizontal="center" vertical="top"/>
    </xf>
    <xf numFmtId="0" fontId="1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169" fontId="1" fillId="0" borderId="71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top" indent="1"/>
    </xf>
    <xf numFmtId="0" fontId="13" fillId="0" borderId="24" xfId="0" applyFont="1" applyBorder="1" applyAlignment="1">
      <alignment horizontal="left" vertical="top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0" fontId="0" fillId="0" borderId="25" xfId="0" applyBorder="1" applyAlignment="1" applyProtection="1">
      <alignment horizontal="left" vertical="top" indent="1"/>
      <protection locked="0"/>
    </xf>
    <xf numFmtId="0" fontId="0" fillId="0" borderId="24" xfId="0" applyBorder="1" applyAlignment="1" applyProtection="1">
      <alignment horizontal="left" vertical="top" indent="1"/>
      <protection locked="0"/>
    </xf>
    <xf numFmtId="0" fontId="0" fillId="0" borderId="53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1" fillId="0" borderId="23" xfId="0" applyFont="1" applyBorder="1" applyAlignment="1" applyProtection="1">
      <alignment horizontal="left" vertical="top" indent="1"/>
      <protection/>
    </xf>
    <xf numFmtId="178" fontId="1" fillId="0" borderId="23" xfId="0" applyNumberFormat="1" applyFont="1" applyBorder="1" applyAlignment="1" applyProtection="1">
      <alignment horizontal="left" vertical="top"/>
      <protection hidden="1"/>
    </xf>
    <xf numFmtId="178" fontId="1" fillId="0" borderId="5" xfId="0" applyNumberFormat="1" applyFont="1" applyBorder="1" applyAlignment="1" applyProtection="1">
      <alignment horizontal="left" vertical="top"/>
      <protection hidden="1"/>
    </xf>
    <xf numFmtId="0" fontId="0" fillId="0" borderId="0" xfId="0" applyAlignment="1">
      <alignment vertical="top"/>
    </xf>
    <xf numFmtId="178" fontId="0" fillId="0" borderId="25" xfId="0" applyNumberFormat="1" applyBorder="1" applyAlignment="1" applyProtection="1">
      <alignment horizontal="left" vertical="top" indent="1"/>
      <protection locked="0"/>
    </xf>
    <xf numFmtId="178" fontId="0" fillId="0" borderId="24" xfId="0" applyNumberFormat="1" applyBorder="1" applyAlignment="1" applyProtection="1">
      <alignment horizontal="left" vertical="top" indent="1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73" xfId="0" applyFont="1" applyBorder="1" applyAlignment="1" applyProtection="1">
      <alignment horizontal="center" vertical="top" wrapText="1"/>
      <protection hidden="1"/>
    </xf>
    <xf numFmtId="0" fontId="1" fillId="0" borderId="75" xfId="0" applyFont="1" applyBorder="1" applyAlignment="1" applyProtection="1">
      <alignment horizontal="center" vertical="top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178" fontId="1" fillId="0" borderId="0" xfId="0" applyNumberFormat="1" applyFont="1" applyAlignment="1" applyProtection="1">
      <alignment horizontal="left" vertical="top" indent="1"/>
      <protection hidden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indent="3"/>
    </xf>
    <xf numFmtId="0" fontId="0" fillId="0" borderId="24" xfId="0" applyBorder="1" applyAlignment="1">
      <alignment horizontal="left" vertical="top" indent="3"/>
    </xf>
    <xf numFmtId="0" fontId="0" fillId="0" borderId="45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19" xfId="0" applyBorder="1" applyAlignment="1">
      <alignment/>
    </xf>
    <xf numFmtId="0" fontId="0" fillId="0" borderId="0" xfId="0" applyAlignment="1">
      <alignment horizontal="left" indent="2"/>
    </xf>
    <xf numFmtId="0" fontId="0" fillId="0" borderId="65" xfId="0" applyBorder="1" applyAlignment="1">
      <alignment horizontal="left" vertical="top" indent="1"/>
    </xf>
    <xf numFmtId="0" fontId="0" fillId="0" borderId="45" xfId="0" applyBorder="1" applyAlignment="1">
      <alignment horizontal="left" vertical="top" indent="1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right" vertical="top"/>
    </xf>
    <xf numFmtId="0" fontId="4" fillId="0" borderId="34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25" xfId="0" applyBorder="1" applyAlignment="1">
      <alignment horizontal="left" vertical="top" indent="5"/>
    </xf>
    <xf numFmtId="0" fontId="0" fillId="0" borderId="24" xfId="0" applyBorder="1" applyAlignment="1">
      <alignment horizontal="left" vertical="top" indent="5"/>
    </xf>
    <xf numFmtId="0" fontId="0" fillId="0" borderId="19" xfId="0" applyBorder="1" applyAlignment="1">
      <alignment horizontal="left" indent="1"/>
    </xf>
    <xf numFmtId="0" fontId="0" fillId="0" borderId="25" xfId="0" applyBorder="1" applyAlignment="1">
      <alignment horizontal="left" vertical="top" indent="1"/>
    </xf>
    <xf numFmtId="0" fontId="0" fillId="0" borderId="24" xfId="0" applyBorder="1" applyAlignment="1">
      <alignment horizontal="left" vertical="top" indent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49" fontId="1" fillId="0" borderId="27" xfId="0" applyNumberFormat="1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top"/>
      <protection hidden="1"/>
    </xf>
    <xf numFmtId="0" fontId="15" fillId="0" borderId="0" xfId="0" applyFont="1" applyAlignment="1" applyProtection="1">
      <alignment horizontal="left" vertical="center" indent="5"/>
      <protection/>
    </xf>
    <xf numFmtId="178" fontId="15" fillId="0" borderId="0" xfId="0" applyNumberFormat="1" applyFont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textRotation="180"/>
    </xf>
    <xf numFmtId="0" fontId="3" fillId="0" borderId="0" xfId="0" applyFont="1" applyFill="1" applyAlignment="1">
      <alignment horizontal="center" vertical="center" textRotation="180"/>
    </xf>
    <xf numFmtId="0" fontId="7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7" fillId="2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7" fillId="38" borderId="0" xfId="0" applyFont="1" applyFill="1" applyAlignment="1">
      <alignment horizontal="center"/>
    </xf>
    <xf numFmtId="0" fontId="67" fillId="38" borderId="0" xfId="0" applyFont="1" applyFill="1" applyAlignment="1">
      <alignment horizontal="center"/>
    </xf>
    <xf numFmtId="0" fontId="67" fillId="2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textRotation="180"/>
    </xf>
    <xf numFmtId="0" fontId="30" fillId="37" borderId="27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/>
    </xf>
    <xf numFmtId="0" fontId="30" fillId="37" borderId="5" xfId="0" applyFont="1" applyFill="1" applyBorder="1" applyAlignment="1">
      <alignment horizontal="center"/>
    </xf>
    <xf numFmtId="0" fontId="30" fillId="37" borderId="70" xfId="0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80" fontId="6" fillId="0" borderId="33" xfId="0" applyNumberFormat="1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center" vertical="center"/>
    </xf>
    <xf numFmtId="180" fontId="45" fillId="37" borderId="33" xfId="0" applyNumberFormat="1" applyFont="1" applyFill="1" applyBorder="1" applyAlignment="1">
      <alignment horizontal="center" vertical="center"/>
    </xf>
    <xf numFmtId="180" fontId="45" fillId="37" borderId="17" xfId="0" applyNumberFormat="1" applyFont="1" applyFill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45" fillId="37" borderId="28" xfId="0" applyNumberFormat="1" applyFont="1" applyFill="1" applyBorder="1" applyAlignment="1">
      <alignment horizontal="center" vertical="center"/>
    </xf>
    <xf numFmtId="180" fontId="45" fillId="37" borderId="29" xfId="0" applyNumberFormat="1" applyFont="1" applyFill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180" fontId="6" fillId="0" borderId="32" xfId="0" applyNumberFormat="1" applyFont="1" applyBorder="1" applyAlignment="1">
      <alignment horizontal="center" vertical="center"/>
    </xf>
    <xf numFmtId="180" fontId="45" fillId="37" borderId="31" xfId="0" applyNumberFormat="1" applyFont="1" applyFill="1" applyBorder="1" applyAlignment="1">
      <alignment horizontal="center" vertical="center"/>
    </xf>
    <xf numFmtId="180" fontId="45" fillId="37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2" borderId="0" xfId="0" applyFont="1" applyFill="1" applyAlignment="1">
      <alignment horizontal="center"/>
    </xf>
    <xf numFmtId="0" fontId="23" fillId="37" borderId="31" xfId="0" applyFont="1" applyFill="1" applyBorder="1" applyAlignment="1">
      <alignment horizontal="center" vertical="top"/>
    </xf>
    <xf numFmtId="0" fontId="23" fillId="37" borderId="32" xfId="0" applyFont="1" applyFill="1" applyBorder="1" applyAlignment="1">
      <alignment horizontal="center" vertical="top"/>
    </xf>
    <xf numFmtId="0" fontId="23" fillId="37" borderId="31" xfId="0" applyFont="1" applyFill="1" applyBorder="1" applyAlignment="1">
      <alignment horizontal="center" vertical="center"/>
    </xf>
    <xf numFmtId="0" fontId="23" fillId="37" borderId="32" xfId="0" applyFont="1" applyFill="1" applyBorder="1" applyAlignment="1">
      <alignment horizontal="center" vertical="center"/>
    </xf>
    <xf numFmtId="0" fontId="23" fillId="37" borderId="33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23" fillId="37" borderId="33" xfId="0" applyFont="1" applyFill="1" applyBorder="1" applyAlignment="1">
      <alignment horizontal="center" vertical="top"/>
    </xf>
    <xf numFmtId="0" fontId="23" fillId="37" borderId="17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3" fillId="40" borderId="31" xfId="0" applyFont="1" applyFill="1" applyBorder="1" applyAlignment="1">
      <alignment horizontal="center" vertical="top"/>
    </xf>
    <xf numFmtId="0" fontId="23" fillId="40" borderId="32" xfId="0" applyFont="1" applyFill="1" applyBorder="1" applyAlignment="1">
      <alignment horizontal="center" vertical="top"/>
    </xf>
    <xf numFmtId="0" fontId="23" fillId="40" borderId="31" xfId="0" applyFont="1" applyFill="1" applyBorder="1" applyAlignment="1">
      <alignment horizontal="center" vertical="center"/>
    </xf>
    <xf numFmtId="0" fontId="23" fillId="40" borderId="19" xfId="0" applyFont="1" applyFill="1" applyBorder="1" applyAlignment="1">
      <alignment horizontal="center" vertical="center"/>
    </xf>
    <xf numFmtId="0" fontId="23" fillId="40" borderId="32" xfId="0" applyFont="1" applyFill="1" applyBorder="1" applyAlignment="1">
      <alignment horizontal="center" vertical="center"/>
    </xf>
    <xf numFmtId="0" fontId="23" fillId="40" borderId="28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3" fillId="40" borderId="29" xfId="0" applyFont="1" applyFill="1" applyBorder="1" applyAlignment="1">
      <alignment horizontal="center" vertical="center"/>
    </xf>
    <xf numFmtId="0" fontId="23" fillId="40" borderId="33" xfId="0" applyFont="1" applyFill="1" applyBorder="1" applyAlignment="1">
      <alignment horizontal="center" vertical="center"/>
    </xf>
    <xf numFmtId="0" fontId="23" fillId="40" borderId="23" xfId="0" applyFont="1" applyFill="1" applyBorder="1" applyAlignment="1">
      <alignment horizontal="center" vertical="center"/>
    </xf>
    <xf numFmtId="0" fontId="23" fillId="40" borderId="17" xfId="0" applyFont="1" applyFill="1" applyBorder="1" applyAlignment="1">
      <alignment horizontal="center" vertical="center"/>
    </xf>
    <xf numFmtId="0" fontId="23" fillId="40" borderId="33" xfId="0" applyFont="1" applyFill="1" applyBorder="1" applyAlignment="1">
      <alignment horizontal="center" vertical="top"/>
    </xf>
    <xf numFmtId="0" fontId="23" fillId="40" borderId="17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52" fillId="0" borderId="25" xfId="182" applyFont="1" applyBorder="1" applyAlignment="1">
      <alignment horizontal="center"/>
      <protection/>
    </xf>
    <xf numFmtId="0" fontId="152" fillId="0" borderId="26" xfId="182" applyFont="1" applyBorder="1" applyAlignment="1">
      <alignment horizontal="center"/>
      <protection/>
    </xf>
    <xf numFmtId="0" fontId="152" fillId="0" borderId="76" xfId="182" applyFont="1" applyBorder="1" applyAlignment="1">
      <alignment horizontal="center"/>
      <protection/>
    </xf>
    <xf numFmtId="0" fontId="152" fillId="0" borderId="77" xfId="182" applyFont="1" applyBorder="1" applyAlignment="1">
      <alignment horizontal="center"/>
      <protection/>
    </xf>
    <xf numFmtId="0" fontId="152" fillId="0" borderId="25" xfId="182" applyFont="1" applyBorder="1" applyAlignment="1">
      <alignment horizontal="left"/>
      <protection/>
    </xf>
    <xf numFmtId="0" fontId="152" fillId="0" borderId="24" xfId="182" applyFont="1" applyBorder="1" applyAlignment="1">
      <alignment horizontal="left"/>
      <protection/>
    </xf>
    <xf numFmtId="0" fontId="152" fillId="0" borderId="26" xfId="182" applyFont="1" applyBorder="1" applyAlignment="1">
      <alignment horizontal="left"/>
      <protection/>
    </xf>
    <xf numFmtId="171" fontId="153" fillId="0" borderId="25" xfId="103" applyFont="1" applyBorder="1" applyAlignment="1">
      <alignment horizontal="center"/>
    </xf>
    <xf numFmtId="171" fontId="153" fillId="0" borderId="26" xfId="103" applyFont="1" applyBorder="1" applyAlignment="1">
      <alignment horizontal="center"/>
    </xf>
    <xf numFmtId="0" fontId="153" fillId="0" borderId="25" xfId="182" applyFont="1" applyBorder="1" applyAlignment="1">
      <alignment horizontal="center"/>
      <protection/>
    </xf>
    <xf numFmtId="0" fontId="153" fillId="0" borderId="24" xfId="182" applyFont="1" applyBorder="1" applyAlignment="1">
      <alignment horizontal="center"/>
      <protection/>
    </xf>
    <xf numFmtId="0" fontId="153" fillId="0" borderId="26" xfId="182" applyFont="1" applyBorder="1" applyAlignment="1">
      <alignment horizontal="center"/>
      <protection/>
    </xf>
    <xf numFmtId="171" fontId="153" fillId="0" borderId="71" xfId="103" applyNumberFormat="1" applyFont="1" applyBorder="1" applyAlignment="1">
      <alignment horizontal="center"/>
    </xf>
    <xf numFmtId="171" fontId="153" fillId="0" borderId="72" xfId="103" applyNumberFormat="1" applyFont="1" applyBorder="1" applyAlignment="1">
      <alignment horizontal="center"/>
    </xf>
    <xf numFmtId="0" fontId="152" fillId="0" borderId="0" xfId="182" applyFont="1" applyFill="1" applyAlignment="1">
      <alignment horizontal="center"/>
      <protection/>
    </xf>
    <xf numFmtId="0" fontId="152" fillId="0" borderId="0" xfId="182" applyFont="1" applyAlignment="1">
      <alignment horizontal="center"/>
      <protection/>
    </xf>
    <xf numFmtId="171" fontId="149" fillId="0" borderId="24" xfId="182" applyNumberFormat="1" applyFont="1" applyBorder="1" applyAlignment="1">
      <alignment horizontal="center"/>
      <protection/>
    </xf>
    <xf numFmtId="0" fontId="149" fillId="0" borderId="24" xfId="182" applyFont="1" applyBorder="1" applyAlignment="1">
      <alignment horizontal="center"/>
      <protection/>
    </xf>
    <xf numFmtId="0" fontId="152" fillId="0" borderId="53" xfId="182" applyFont="1" applyBorder="1" applyAlignment="1">
      <alignment horizontal="center"/>
      <protection/>
    </xf>
    <xf numFmtId="0" fontId="152" fillId="0" borderId="67" xfId="182" applyFont="1" applyBorder="1" applyAlignment="1">
      <alignment horizontal="center"/>
      <protection/>
    </xf>
    <xf numFmtId="0" fontId="153" fillId="0" borderId="0" xfId="182" applyFont="1" applyAlignment="1">
      <alignment horizontal="center"/>
      <protection/>
    </xf>
    <xf numFmtId="0" fontId="153" fillId="0" borderId="74" xfId="182" applyFont="1" applyBorder="1" applyAlignment="1">
      <alignment horizontal="center"/>
      <protection/>
    </xf>
    <xf numFmtId="0" fontId="153" fillId="0" borderId="73" xfId="182" applyFont="1" applyBorder="1" applyAlignment="1">
      <alignment horizontal="center"/>
      <protection/>
    </xf>
    <xf numFmtId="0" fontId="153" fillId="0" borderId="75" xfId="182" applyFont="1" applyBorder="1" applyAlignment="1">
      <alignment horizontal="center"/>
      <protection/>
    </xf>
    <xf numFmtId="0" fontId="152" fillId="0" borderId="78" xfId="182" applyFont="1" applyBorder="1" applyAlignment="1">
      <alignment horizontal="center"/>
      <protection/>
    </xf>
    <xf numFmtId="0" fontId="152" fillId="0" borderId="79" xfId="182" applyFont="1" applyBorder="1" applyAlignment="1">
      <alignment horizontal="center"/>
      <protection/>
    </xf>
    <xf numFmtId="0" fontId="152" fillId="0" borderId="80" xfId="182" applyFont="1" applyBorder="1" applyAlignment="1">
      <alignment horizontal="center"/>
      <protection/>
    </xf>
    <xf numFmtId="0" fontId="152" fillId="0" borderId="68" xfId="182" applyFont="1" applyBorder="1" applyAlignment="1">
      <alignment horizontal="center"/>
      <protection/>
    </xf>
    <xf numFmtId="0" fontId="152" fillId="0" borderId="69" xfId="182" applyFont="1" applyBorder="1" applyAlignment="1">
      <alignment horizontal="center"/>
      <protection/>
    </xf>
    <xf numFmtId="0" fontId="155" fillId="0" borderId="0" xfId="182" applyFont="1" applyBorder="1">
      <alignment/>
      <protection/>
    </xf>
  </cellXfs>
  <cellStyles count="23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bc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lc Currency (0)" xfId="56"/>
    <cellStyle name="Calc Currency (2)" xfId="57"/>
    <cellStyle name="Calc Percent (0)" xfId="58"/>
    <cellStyle name="Calc Percent (1)" xfId="59"/>
    <cellStyle name="Calc Percent (2)" xfId="60"/>
    <cellStyle name="Calc Units (0)" xfId="61"/>
    <cellStyle name="Calc Units (0) 2" xfId="62"/>
    <cellStyle name="Calc Units (1)" xfId="63"/>
    <cellStyle name="Calc Units (1) 2" xfId="64"/>
    <cellStyle name="Calc Units (2)" xfId="65"/>
    <cellStyle name="Calculation" xfId="66"/>
    <cellStyle name="Check Cell" xfId="67"/>
    <cellStyle name="Comma" xfId="68"/>
    <cellStyle name="Comma [0]" xfId="69"/>
    <cellStyle name="Comma [00]" xfId="70"/>
    <cellStyle name="Comma [00] 2" xfId="71"/>
    <cellStyle name="Comma 10" xfId="72"/>
    <cellStyle name="Comma 11" xfId="73"/>
    <cellStyle name="Comma 12" xfId="74"/>
    <cellStyle name="Comma 12 2" xfId="75"/>
    <cellStyle name="Comma 13" xfId="76"/>
    <cellStyle name="Comma 13 2" xfId="77"/>
    <cellStyle name="Comma 13 3" xfId="78"/>
    <cellStyle name="Comma 14" xfId="79"/>
    <cellStyle name="Comma 15" xfId="80"/>
    <cellStyle name="Comma 15 2" xfId="81"/>
    <cellStyle name="Comma 15 3" xfId="82"/>
    <cellStyle name="Comma 16" xfId="83"/>
    <cellStyle name="Comma 16 2" xfId="84"/>
    <cellStyle name="Comma 17" xfId="85"/>
    <cellStyle name="Comma 18" xfId="86"/>
    <cellStyle name="Comma 19" xfId="87"/>
    <cellStyle name="Comma 2" xfId="88"/>
    <cellStyle name="Comma 2 10" xfId="89"/>
    <cellStyle name="Comma 2 11" xfId="90"/>
    <cellStyle name="Comma 2 12" xfId="91"/>
    <cellStyle name="Comma 2 2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20" xfId="100"/>
    <cellStyle name="Comma 20 2" xfId="101"/>
    <cellStyle name="Comma 21" xfId="102"/>
    <cellStyle name="Comma 22" xfId="103"/>
    <cellStyle name="Comma 22 2" xfId="104"/>
    <cellStyle name="Comma 23" xfId="105"/>
    <cellStyle name="Comma 24" xfId="106"/>
    <cellStyle name="Comma 25" xfId="107"/>
    <cellStyle name="Comma 3" xfId="108"/>
    <cellStyle name="Comma 4" xfId="109"/>
    <cellStyle name="Comma 5" xfId="110"/>
    <cellStyle name="Comma 6" xfId="111"/>
    <cellStyle name="Comma 6 2" xfId="112"/>
    <cellStyle name="Comma 6 3" xfId="113"/>
    <cellStyle name="Comma 6 4" xfId="114"/>
    <cellStyle name="Comma 6 5" xfId="115"/>
    <cellStyle name="Comma 6 6" xfId="116"/>
    <cellStyle name="Comma 6 7" xfId="117"/>
    <cellStyle name="Comma 6 8" xfId="118"/>
    <cellStyle name="Comma 6 9" xfId="119"/>
    <cellStyle name="Comma 7" xfId="120"/>
    <cellStyle name="Comma 8" xfId="121"/>
    <cellStyle name="Comma 9" xfId="122"/>
    <cellStyle name="company_title" xfId="123"/>
    <cellStyle name="Currency" xfId="124"/>
    <cellStyle name="Currency [0]" xfId="125"/>
    <cellStyle name="Currency [00]" xfId="126"/>
    <cellStyle name="Date Short" xfId="127"/>
    <cellStyle name="date_format" xfId="128"/>
    <cellStyle name="Enter Currency (0)" xfId="129"/>
    <cellStyle name="Enter Currency (0) 2" xfId="130"/>
    <cellStyle name="Enter Currency (2)" xfId="131"/>
    <cellStyle name="Enter Units (0)" xfId="132"/>
    <cellStyle name="Enter Units (0) 2" xfId="133"/>
    <cellStyle name="Enter Units (1)" xfId="134"/>
    <cellStyle name="Enter Units (1) 2" xfId="135"/>
    <cellStyle name="Enter Units (2)" xfId="136"/>
    <cellStyle name="Explanatory Text" xfId="137"/>
    <cellStyle name="Followed Hyperlink" xfId="138"/>
    <cellStyle name="Good" xfId="139"/>
    <cellStyle name="Grey" xfId="140"/>
    <cellStyle name="Header1" xfId="141"/>
    <cellStyle name="Header2" xfId="142"/>
    <cellStyle name="Heading 1" xfId="143"/>
    <cellStyle name="Heading 2" xfId="144"/>
    <cellStyle name="Heading 3" xfId="145"/>
    <cellStyle name="Heading 4" xfId="146"/>
    <cellStyle name="Hyperlink" xfId="147"/>
    <cellStyle name="Input" xfId="148"/>
    <cellStyle name="Input [yellow]" xfId="149"/>
    <cellStyle name="Link Currency (0)" xfId="150"/>
    <cellStyle name="Link Currency (0) 2" xfId="151"/>
    <cellStyle name="Link Currency (2)" xfId="152"/>
    <cellStyle name="Link Units (0)" xfId="153"/>
    <cellStyle name="Link Units (0) 2" xfId="154"/>
    <cellStyle name="Link Units (1)" xfId="155"/>
    <cellStyle name="Link Units (1) 2" xfId="156"/>
    <cellStyle name="Link Units (2)" xfId="157"/>
    <cellStyle name="Linked Cell" xfId="158"/>
    <cellStyle name="Neutral" xfId="159"/>
    <cellStyle name="Normal - Style1" xfId="160"/>
    <cellStyle name="Normal - Style1 10" xfId="161"/>
    <cellStyle name="Normal - Style1 11" xfId="162"/>
    <cellStyle name="Normal - Style1 12" xfId="163"/>
    <cellStyle name="Normal - Style1 12 2" xfId="164"/>
    <cellStyle name="Normal - Style1 2" xfId="165"/>
    <cellStyle name="Normal - Style1 3" xfId="166"/>
    <cellStyle name="Normal - Style1 4" xfId="167"/>
    <cellStyle name="Normal - Style1 5" xfId="168"/>
    <cellStyle name="Normal - Style1 6" xfId="169"/>
    <cellStyle name="Normal - Style1 7" xfId="170"/>
    <cellStyle name="Normal - Style1 8" xfId="171"/>
    <cellStyle name="Normal - Style1 9" xfId="172"/>
    <cellStyle name="Normal 10" xfId="173"/>
    <cellStyle name="Normal 10 2" xfId="174"/>
    <cellStyle name="Normal 10 3" xfId="175"/>
    <cellStyle name="Normal 11" xfId="176"/>
    <cellStyle name="Normal 11 2" xfId="177"/>
    <cellStyle name="Normal 12" xfId="178"/>
    <cellStyle name="Normal 13" xfId="179"/>
    <cellStyle name="Normal 14" xfId="180"/>
    <cellStyle name="Normal 15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2" xfId="188"/>
    <cellStyle name="Normal 2 3" xfId="189"/>
    <cellStyle name="Normal 3" xfId="190"/>
    <cellStyle name="Normal 3 2" xfId="191"/>
    <cellStyle name="Normal 3 3" xfId="192"/>
    <cellStyle name="Normal 4" xfId="193"/>
    <cellStyle name="Normal 5" xfId="194"/>
    <cellStyle name="Normal 6" xfId="195"/>
    <cellStyle name="Normal 6 2" xfId="196"/>
    <cellStyle name="Normal 7" xfId="197"/>
    <cellStyle name="Normal 8" xfId="198"/>
    <cellStyle name="Normal 9" xfId="199"/>
    <cellStyle name="Note" xfId="200"/>
    <cellStyle name="Output" xfId="201"/>
    <cellStyle name="ParaBirimi [0]_RESULTS" xfId="202"/>
    <cellStyle name="ParaBirimi_RESULTS" xfId="203"/>
    <cellStyle name="Percent" xfId="204"/>
    <cellStyle name="Percent [0]" xfId="205"/>
    <cellStyle name="Percent [00]" xfId="206"/>
    <cellStyle name="Percent [2]" xfId="207"/>
    <cellStyle name="Percent [2] 10" xfId="208"/>
    <cellStyle name="Percent [2] 11" xfId="209"/>
    <cellStyle name="Percent [2] 12" xfId="210"/>
    <cellStyle name="Percent [2] 2" xfId="211"/>
    <cellStyle name="Percent [2] 3" xfId="212"/>
    <cellStyle name="Percent [2] 4" xfId="213"/>
    <cellStyle name="Percent [2] 5" xfId="214"/>
    <cellStyle name="Percent [2] 6" xfId="215"/>
    <cellStyle name="Percent [2] 7" xfId="216"/>
    <cellStyle name="Percent [2] 8" xfId="217"/>
    <cellStyle name="Percent [2] 9" xfId="218"/>
    <cellStyle name="PrePop Currency (0)" xfId="219"/>
    <cellStyle name="PrePop Currency (0) 2" xfId="220"/>
    <cellStyle name="PrePop Currency (2)" xfId="221"/>
    <cellStyle name="PrePop Units (0)" xfId="222"/>
    <cellStyle name="PrePop Units (0) 2" xfId="223"/>
    <cellStyle name="PrePop Units (1)" xfId="224"/>
    <cellStyle name="PrePop Units (1) 2" xfId="225"/>
    <cellStyle name="PrePop Units (2)" xfId="226"/>
    <cellStyle name="report_title" xfId="227"/>
    <cellStyle name="Text Indent A" xfId="228"/>
    <cellStyle name="Text Indent B" xfId="229"/>
    <cellStyle name="Text Indent C" xfId="230"/>
    <cellStyle name="Title" xfId="231"/>
    <cellStyle name="Total" xfId="232"/>
    <cellStyle name="Virg? [0]_RESULTS" xfId="233"/>
    <cellStyle name="Virg?_RESULTS" xfId="234"/>
    <cellStyle name="Warning Text" xfId="235"/>
    <cellStyle name="เครื่องหมายจุลภาค 2" xfId="236"/>
    <cellStyle name="เครื่องหมายจุลภาค 3" xfId="237"/>
    <cellStyle name="เครื่องหมายจุลภาค 4" xfId="238"/>
    <cellStyle name="เครื่องหมายจุลภาค 5" xfId="239"/>
    <cellStyle name="เครื่องหมายจุลภาค 6" xfId="240"/>
    <cellStyle name="เครื่องหมายจุลภาค 7" xfId="241"/>
    <cellStyle name="เครื่องหมายจุลภาค_4144" xfId="242"/>
    <cellStyle name="ปกติ 2" xfId="243"/>
    <cellStyle name="ปกติ_101. )  BOQ-Star House Apartment  Rev.3  1 ก.ค. 51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1;&#3619;&#3633;&#3610;&#3611;&#3619;&#3640;&#3591;&#3614;&#3639;&#3657;&#3609;&#3627;&#3657;&#3629;&#3591;&#3648;&#3619;&#3637;&#3618;&#3609;%20&#3627;&#3657;&#3629;&#3591;&#3614;&#3633;&#3585;&#3629;&#3634;&#3592;&#3634;&#3619;&#3618;&#3660;%20&#3649;&#3621;&#3632;&#3607;&#3634;&#3591;&#3648;&#3604;&#3636;&#3609;&#3588;&#3603;&#3632;&#3610;&#3619;&#3636;&#3627;&#3634;&#3619;&#3608;&#3640;&#3619;&#3585;&#3636;&#3592;%20(&#3610;&#3614;&#3636;&#3605;&#3619;)\My%20Documents\&#3619;&#3634;&#3588;&#3634;&#3623;&#3633;&#3626;&#3604;&#3640;%20&#3649;&#3619;&#3591;&#3591;&#3634;&#3609;%20&amp;%20F\Factor%20F%20&#3629;&#3634;&#3588;&#3634;&#3619;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FACTOR F"/>
      <sheetName val="อธิบาย F"/>
      <sheetName val="ตารางค่าอำนวยการ"/>
      <sheetName val="ค่าอำนวยการ"/>
      <sheetName val="ดอกเบี้ย,กำไร"/>
      <sheetName val="ภาษี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136"/>
  <sheetViews>
    <sheetView showGridLines="0" zoomScale="130" zoomScaleNormal="130" zoomScalePageLayoutView="0" workbookViewId="0" topLeftCell="A1">
      <selection activeCell="A1" sqref="A1:T1"/>
    </sheetView>
  </sheetViews>
  <sheetFormatPr defaultColWidth="0" defaultRowHeight="21.75"/>
  <cols>
    <col min="1" max="2" width="4.7109375" style="34" customWidth="1"/>
    <col min="3" max="3" width="5.00390625" style="34" customWidth="1"/>
    <col min="4" max="6" width="4.8515625" style="34" customWidth="1"/>
    <col min="7" max="7" width="6.00390625" style="34" customWidth="1"/>
    <col min="8" max="13" width="5.00390625" style="34" customWidth="1"/>
    <col min="14" max="20" width="4.28125" style="34" customWidth="1"/>
    <col min="21" max="21" width="10.7109375" style="34" customWidth="1"/>
    <col min="22" max="16384" width="0" style="34" hidden="1" customWidth="1"/>
  </cols>
  <sheetData>
    <row r="1" spans="1:20" ht="24">
      <c r="A1" s="605" t="s">
        <v>574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</row>
    <row r="2" spans="1:20" ht="24">
      <c r="A2" s="616" t="str">
        <f>'ปร.5'!E3</f>
        <v>งานอาคาร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</row>
    <row r="3" spans="1:20" ht="24">
      <c r="A3" s="616" t="str">
        <f>'ปร.5'!E5</f>
        <v>มหาวิทยาลัยเทคโนโลยีราชมงคลกรุงเทพ  (เทคนิคกรุงเทพฯ)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</row>
    <row r="4" spans="1:20" ht="24">
      <c r="A4" s="607" t="s">
        <v>575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</row>
    <row r="5" spans="1:20" ht="24">
      <c r="A5" s="607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</row>
    <row r="6" spans="1:20" ht="24">
      <c r="A6" s="609" t="s">
        <v>576</v>
      </c>
      <c r="B6" s="609"/>
      <c r="C6" s="37">
        <v>1</v>
      </c>
      <c r="D6" s="615" t="s">
        <v>577</v>
      </c>
      <c r="E6" s="615"/>
      <c r="F6" s="615"/>
      <c r="G6" s="38" t="e">
        <f>ตารางแบ่งงวด!F8</f>
        <v>#REF!</v>
      </c>
      <c r="H6" s="615" t="s">
        <v>578</v>
      </c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</row>
    <row r="7" spans="1:20" ht="24">
      <c r="A7" s="607"/>
      <c r="B7" s="607"/>
      <c r="D7" s="615" t="s">
        <v>579</v>
      </c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</row>
    <row r="8" spans="1:20" ht="24">
      <c r="A8" s="607"/>
      <c r="B8" s="607"/>
      <c r="D8" s="606" t="s">
        <v>580</v>
      </c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</row>
    <row r="9" spans="1:20" ht="24">
      <c r="A9" s="607"/>
      <c r="B9" s="607"/>
      <c r="D9" s="606" t="s">
        <v>581</v>
      </c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</row>
    <row r="10" spans="1:20" ht="24">
      <c r="A10" s="607"/>
      <c r="B10" s="607"/>
      <c r="D10" s="606" t="s">
        <v>582</v>
      </c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</row>
    <row r="11" spans="1:20" ht="24">
      <c r="A11" s="607"/>
      <c r="B11" s="607"/>
      <c r="D11" s="606" t="s">
        <v>583</v>
      </c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</row>
    <row r="12" spans="1:20" ht="24">
      <c r="A12" s="607"/>
      <c r="B12" s="607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</row>
    <row r="13" spans="1:20" ht="24">
      <c r="A13" s="607"/>
      <c r="B13" s="607"/>
      <c r="C13" s="607"/>
      <c r="D13" s="607"/>
      <c r="E13" s="607"/>
      <c r="F13" s="607"/>
      <c r="G13" s="607"/>
      <c r="H13" s="605" t="s">
        <v>584</v>
      </c>
      <c r="I13" s="607"/>
      <c r="J13" s="607"/>
      <c r="K13" s="607"/>
      <c r="L13" s="32">
        <f>ตารางแบ่งงวด!O8</f>
        <v>30</v>
      </c>
      <c r="M13" s="32" t="s">
        <v>585</v>
      </c>
      <c r="N13" s="607"/>
      <c r="O13" s="607"/>
      <c r="P13" s="607"/>
      <c r="Q13" s="607"/>
      <c r="R13" s="607"/>
      <c r="S13" s="607"/>
      <c r="T13" s="607"/>
    </row>
    <row r="14" spans="1:20" ht="24">
      <c r="A14" s="607"/>
      <c r="B14" s="607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</row>
    <row r="15" spans="1:20" ht="24">
      <c r="A15" s="609" t="s">
        <v>576</v>
      </c>
      <c r="B15" s="609"/>
      <c r="C15" s="36">
        <v>2</v>
      </c>
      <c r="D15" s="615" t="s">
        <v>577</v>
      </c>
      <c r="E15" s="615"/>
      <c r="F15" s="615"/>
      <c r="G15" s="38" t="e">
        <f>ตารางแบ่งงวด!F9</f>
        <v>#REF!</v>
      </c>
      <c r="H15" s="615" t="s">
        <v>578</v>
      </c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</row>
    <row r="16" spans="1:20" ht="24">
      <c r="A16" s="607"/>
      <c r="B16" s="607"/>
      <c r="D16" s="615" t="s">
        <v>579</v>
      </c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</row>
    <row r="17" spans="1:20" ht="24">
      <c r="A17" s="607"/>
      <c r="B17" s="607"/>
      <c r="D17" s="606" t="s">
        <v>587</v>
      </c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</row>
    <row r="18" spans="1:20" ht="24">
      <c r="A18" s="607"/>
      <c r="B18" s="607"/>
      <c r="D18" s="606" t="s">
        <v>588</v>
      </c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R18" s="606"/>
      <c r="S18" s="606"/>
      <c r="T18" s="606"/>
    </row>
    <row r="19" spans="1:20" ht="24">
      <c r="A19" s="607"/>
      <c r="B19" s="607"/>
      <c r="D19" s="606" t="s">
        <v>589</v>
      </c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</row>
    <row r="20" spans="1:20" ht="24">
      <c r="A20" s="607"/>
      <c r="B20" s="607"/>
      <c r="D20" s="606" t="s">
        <v>590</v>
      </c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</row>
    <row r="21" spans="1:20" ht="24">
      <c r="A21" s="607"/>
      <c r="B21" s="607"/>
      <c r="D21" s="606" t="s">
        <v>591</v>
      </c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</row>
    <row r="22" spans="1:20" ht="24">
      <c r="A22" s="607"/>
      <c r="B22" s="607"/>
      <c r="D22" s="606" t="s">
        <v>592</v>
      </c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</row>
    <row r="23" spans="1:20" ht="24">
      <c r="A23" s="607"/>
      <c r="B23" s="607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</row>
    <row r="24" spans="1:20" ht="24">
      <c r="A24" s="607"/>
      <c r="B24" s="607"/>
      <c r="C24" s="607"/>
      <c r="D24" s="607"/>
      <c r="E24" s="607"/>
      <c r="F24" s="607"/>
      <c r="G24" s="607"/>
      <c r="H24" s="605" t="s">
        <v>584</v>
      </c>
      <c r="I24" s="607"/>
      <c r="J24" s="607"/>
      <c r="K24" s="607"/>
      <c r="L24" s="32">
        <f>ตารางแบ่งงวด!O9</f>
        <v>30</v>
      </c>
      <c r="M24" s="32" t="s">
        <v>585</v>
      </c>
      <c r="N24" s="607"/>
      <c r="O24" s="607"/>
      <c r="P24" s="607"/>
      <c r="Q24" s="607"/>
      <c r="R24" s="607"/>
      <c r="S24" s="607"/>
      <c r="T24" s="607"/>
    </row>
    <row r="25" spans="1:20" ht="24">
      <c r="A25" s="607"/>
      <c r="B25" s="607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</row>
    <row r="26" spans="1:20" ht="24">
      <c r="A26" s="609" t="s">
        <v>576</v>
      </c>
      <c r="B26" s="609"/>
      <c r="C26" s="36">
        <v>3</v>
      </c>
      <c r="D26" s="615" t="s">
        <v>577</v>
      </c>
      <c r="E26" s="615"/>
      <c r="F26" s="615"/>
      <c r="G26" s="38" t="e">
        <f>ตารางแบ่งงวด!F10</f>
        <v>#REF!</v>
      </c>
      <c r="H26" s="615" t="s">
        <v>578</v>
      </c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</row>
    <row r="27" spans="1:20" ht="24">
      <c r="A27" s="607"/>
      <c r="B27" s="607"/>
      <c r="D27" s="615" t="s">
        <v>579</v>
      </c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</row>
    <row r="28" spans="1:20" ht="24">
      <c r="A28" s="607"/>
      <c r="B28" s="607"/>
      <c r="D28" s="606" t="s">
        <v>593</v>
      </c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</row>
    <row r="29" spans="1:20" ht="24">
      <c r="A29" s="607"/>
      <c r="B29" s="607"/>
      <c r="D29" s="606" t="s">
        <v>594</v>
      </c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</row>
    <row r="30" spans="1:20" ht="24">
      <c r="A30" s="607"/>
      <c r="B30" s="607"/>
      <c r="D30" s="606" t="s">
        <v>595</v>
      </c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</row>
    <row r="31" spans="1:20" ht="24">
      <c r="A31" s="607"/>
      <c r="B31" s="607"/>
      <c r="D31" s="606" t="s">
        <v>596</v>
      </c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</row>
    <row r="32" spans="1:20" ht="24">
      <c r="A32" s="607"/>
      <c r="B32" s="607"/>
      <c r="D32" s="606" t="s">
        <v>597</v>
      </c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</row>
    <row r="33" spans="1:20" ht="24">
      <c r="A33" s="607"/>
      <c r="B33" s="607"/>
      <c r="D33" s="606" t="s">
        <v>598</v>
      </c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</row>
    <row r="34" spans="1:20" ht="24">
      <c r="A34" s="607"/>
      <c r="B34" s="607"/>
      <c r="D34" s="606" t="s">
        <v>599</v>
      </c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</row>
    <row r="35" spans="1:20" ht="24">
      <c r="A35" s="607"/>
      <c r="B35" s="607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</row>
    <row r="36" spans="1:20" ht="24">
      <c r="A36" s="607"/>
      <c r="B36" s="607"/>
      <c r="C36" s="607"/>
      <c r="D36" s="607"/>
      <c r="E36" s="607"/>
      <c r="F36" s="607"/>
      <c r="G36" s="607"/>
      <c r="H36" s="605" t="s">
        <v>584</v>
      </c>
      <c r="I36" s="607"/>
      <c r="J36" s="607"/>
      <c r="K36" s="607"/>
      <c r="L36" s="32">
        <f>ตารางแบ่งงวด!O10</f>
        <v>30</v>
      </c>
      <c r="M36" s="32" t="s">
        <v>585</v>
      </c>
      <c r="N36" s="607"/>
      <c r="O36" s="607"/>
      <c r="P36" s="607"/>
      <c r="Q36" s="607"/>
      <c r="R36" s="607"/>
      <c r="S36" s="607"/>
      <c r="T36" s="607"/>
    </row>
    <row r="37" spans="1:20" ht="24">
      <c r="A37" s="607"/>
      <c r="B37" s="607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</row>
    <row r="38" spans="1:20" ht="24">
      <c r="A38" s="609" t="s">
        <v>576</v>
      </c>
      <c r="B38" s="609"/>
      <c r="C38" s="36">
        <v>4</v>
      </c>
      <c r="D38" s="615" t="s">
        <v>577</v>
      </c>
      <c r="E38" s="615"/>
      <c r="F38" s="615"/>
      <c r="G38" s="38" t="e">
        <f>ตารางแบ่งงวด!F11</f>
        <v>#REF!</v>
      </c>
      <c r="H38" s="615" t="s">
        <v>578</v>
      </c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</row>
    <row r="39" spans="1:20" ht="24">
      <c r="A39" s="607"/>
      <c r="B39" s="607"/>
      <c r="D39" s="615" t="s">
        <v>579</v>
      </c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</row>
    <row r="40" spans="1:20" ht="24">
      <c r="A40" s="607"/>
      <c r="B40" s="607"/>
      <c r="D40" s="606" t="s">
        <v>600</v>
      </c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</row>
    <row r="41" spans="1:20" ht="24">
      <c r="A41" s="607"/>
      <c r="B41" s="607"/>
      <c r="D41" s="606" t="s">
        <v>601</v>
      </c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</row>
    <row r="42" spans="1:20" ht="24">
      <c r="A42" s="607"/>
      <c r="B42" s="607"/>
      <c r="D42" s="606" t="s">
        <v>602</v>
      </c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</row>
    <row r="43" spans="1:20" ht="24">
      <c r="A43" s="607"/>
      <c r="B43" s="607"/>
      <c r="D43" s="606" t="s">
        <v>603</v>
      </c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</row>
    <row r="44" spans="1:20" ht="24">
      <c r="A44" s="607"/>
      <c r="B44" s="607"/>
      <c r="D44" s="606" t="s">
        <v>604</v>
      </c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</row>
    <row r="45" spans="1:20" ht="24">
      <c r="A45" s="607"/>
      <c r="B45" s="607"/>
      <c r="D45" s="606" t="s">
        <v>605</v>
      </c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</row>
    <row r="46" spans="1:20" ht="24">
      <c r="A46" s="607"/>
      <c r="B46" s="607"/>
      <c r="D46" s="606" t="s">
        <v>606</v>
      </c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</row>
    <row r="47" spans="1:20" ht="24">
      <c r="A47" s="607"/>
      <c r="B47" s="607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</row>
    <row r="48" spans="1:20" ht="24">
      <c r="A48" s="607"/>
      <c r="B48" s="607"/>
      <c r="C48" s="607"/>
      <c r="D48" s="607"/>
      <c r="E48" s="607"/>
      <c r="F48" s="607"/>
      <c r="G48" s="607"/>
      <c r="H48" s="605" t="s">
        <v>584</v>
      </c>
      <c r="I48" s="607"/>
      <c r="J48" s="607"/>
      <c r="K48" s="607"/>
      <c r="L48" s="32">
        <f>ตารางแบ่งงวด!O11</f>
        <v>30</v>
      </c>
      <c r="M48" s="32" t="s">
        <v>585</v>
      </c>
      <c r="N48" s="607"/>
      <c r="O48" s="607"/>
      <c r="P48" s="607"/>
      <c r="Q48" s="607"/>
      <c r="R48" s="607"/>
      <c r="S48" s="607"/>
      <c r="T48" s="607"/>
    </row>
    <row r="49" spans="1:20" ht="24">
      <c r="A49" s="607"/>
      <c r="B49" s="607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</row>
    <row r="50" spans="1:20" ht="24">
      <c r="A50" s="609" t="s">
        <v>576</v>
      </c>
      <c r="B50" s="609"/>
      <c r="C50" s="36">
        <v>5</v>
      </c>
      <c r="D50" s="615" t="s">
        <v>577</v>
      </c>
      <c r="E50" s="615"/>
      <c r="F50" s="615"/>
      <c r="G50" s="38" t="e">
        <f>ตารางแบ่งงวด!F12</f>
        <v>#REF!</v>
      </c>
      <c r="H50" s="615" t="s">
        <v>578</v>
      </c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</row>
    <row r="51" spans="1:20" ht="24">
      <c r="A51" s="607"/>
      <c r="B51" s="607"/>
      <c r="D51" s="615" t="s">
        <v>579</v>
      </c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</row>
    <row r="52" spans="1:20" ht="24">
      <c r="A52" s="607"/>
      <c r="B52" s="607"/>
      <c r="D52" s="606" t="s">
        <v>607</v>
      </c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</row>
    <row r="53" spans="1:20" ht="24">
      <c r="A53" s="607"/>
      <c r="B53" s="607"/>
      <c r="D53" s="606" t="s">
        <v>608</v>
      </c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</row>
    <row r="54" spans="1:20" ht="24">
      <c r="A54" s="607"/>
      <c r="B54" s="607"/>
      <c r="D54" s="606" t="s">
        <v>609</v>
      </c>
      <c r="E54" s="606"/>
      <c r="F54" s="606"/>
      <c r="G54" s="606"/>
      <c r="H54" s="606"/>
      <c r="I54" s="606"/>
      <c r="J54" s="606"/>
      <c r="K54" s="606"/>
      <c r="L54" s="606"/>
      <c r="M54" s="606"/>
      <c r="N54" s="606"/>
      <c r="O54" s="606"/>
      <c r="P54" s="606"/>
      <c r="Q54" s="606"/>
      <c r="R54" s="606"/>
      <c r="S54" s="606"/>
      <c r="T54" s="606"/>
    </row>
    <row r="55" spans="1:20" ht="24">
      <c r="A55" s="607"/>
      <c r="B55" s="607"/>
      <c r="D55" s="606" t="s">
        <v>610</v>
      </c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606"/>
      <c r="R55" s="606"/>
      <c r="S55" s="606"/>
      <c r="T55" s="606"/>
    </row>
    <row r="56" spans="1:20" ht="24">
      <c r="A56" s="607"/>
      <c r="B56" s="607"/>
      <c r="D56" s="606" t="s">
        <v>611</v>
      </c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</row>
    <row r="57" spans="1:20" ht="24">
      <c r="A57" s="607"/>
      <c r="B57" s="607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</row>
    <row r="58" spans="1:20" ht="24">
      <c r="A58" s="607"/>
      <c r="B58" s="607"/>
      <c r="C58" s="607"/>
      <c r="D58" s="607"/>
      <c r="E58" s="607"/>
      <c r="F58" s="607"/>
      <c r="G58" s="607"/>
      <c r="H58" s="605" t="s">
        <v>584</v>
      </c>
      <c r="I58" s="607"/>
      <c r="J58" s="607"/>
      <c r="K58" s="607"/>
      <c r="L58" s="32">
        <f>ตารางแบ่งงวด!O12</f>
        <v>30</v>
      </c>
      <c r="M58" s="32" t="s">
        <v>585</v>
      </c>
      <c r="N58" s="607"/>
      <c r="O58" s="607"/>
      <c r="P58" s="607"/>
      <c r="Q58" s="607"/>
      <c r="R58" s="607"/>
      <c r="S58" s="607"/>
      <c r="T58" s="607"/>
    </row>
    <row r="59" spans="1:20" ht="24">
      <c r="A59" s="607"/>
      <c r="B59" s="607"/>
      <c r="D59" s="606"/>
      <c r="E59" s="606"/>
      <c r="F59" s="606"/>
      <c r="G59" s="606"/>
      <c r="H59" s="606"/>
      <c r="I59" s="606"/>
      <c r="J59" s="606"/>
      <c r="K59" s="606"/>
      <c r="L59" s="606"/>
      <c r="M59" s="606"/>
      <c r="N59" s="606"/>
      <c r="O59" s="606"/>
      <c r="P59" s="606"/>
      <c r="Q59" s="606"/>
      <c r="R59" s="606"/>
      <c r="S59" s="606"/>
      <c r="T59" s="606"/>
    </row>
    <row r="60" spans="1:20" ht="24">
      <c r="A60" s="609" t="s">
        <v>576</v>
      </c>
      <c r="B60" s="609"/>
      <c r="C60" s="36">
        <v>6</v>
      </c>
      <c r="D60" s="615" t="s">
        <v>577</v>
      </c>
      <c r="E60" s="615"/>
      <c r="F60" s="615"/>
      <c r="G60" s="38" t="e">
        <f>ตารางแบ่งงวด!F13</f>
        <v>#REF!</v>
      </c>
      <c r="H60" s="615" t="s">
        <v>578</v>
      </c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</row>
    <row r="61" spans="1:20" ht="24">
      <c r="A61" s="607"/>
      <c r="B61" s="607"/>
      <c r="D61" s="615" t="s">
        <v>579</v>
      </c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</row>
    <row r="62" spans="1:20" ht="24">
      <c r="A62" s="607"/>
      <c r="B62" s="607"/>
      <c r="D62" s="606" t="s">
        <v>612</v>
      </c>
      <c r="E62" s="606"/>
      <c r="F62" s="606"/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6"/>
      <c r="S62" s="606"/>
      <c r="T62" s="606"/>
    </row>
    <row r="63" spans="1:20" ht="24">
      <c r="A63" s="607"/>
      <c r="B63" s="607"/>
      <c r="D63" s="606" t="s">
        <v>613</v>
      </c>
      <c r="E63" s="606"/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606"/>
      <c r="T63" s="606"/>
    </row>
    <row r="64" spans="1:20" ht="24">
      <c r="A64" s="607"/>
      <c r="B64" s="607"/>
      <c r="D64" s="606" t="s">
        <v>614</v>
      </c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S64" s="606"/>
      <c r="T64" s="606"/>
    </row>
    <row r="65" spans="1:20" ht="24">
      <c r="A65" s="607"/>
      <c r="B65" s="607"/>
      <c r="D65" s="606" t="s">
        <v>615</v>
      </c>
      <c r="E65" s="606"/>
      <c r="F65" s="606"/>
      <c r="G65" s="606"/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</row>
    <row r="66" spans="1:20" ht="24">
      <c r="A66" s="607"/>
      <c r="B66" s="607"/>
      <c r="D66" s="606" t="s">
        <v>616</v>
      </c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06"/>
      <c r="T66" s="606"/>
    </row>
    <row r="67" spans="1:20" ht="24">
      <c r="A67" s="607"/>
      <c r="B67" s="607"/>
      <c r="D67" s="606" t="s">
        <v>617</v>
      </c>
      <c r="E67" s="606"/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606"/>
      <c r="R67" s="606"/>
      <c r="S67" s="606"/>
      <c r="T67" s="606"/>
    </row>
    <row r="68" spans="1:20" ht="24">
      <c r="A68" s="607"/>
      <c r="B68" s="607"/>
      <c r="D68" s="606"/>
      <c r="E68" s="606"/>
      <c r="F68" s="606"/>
      <c r="G68" s="606"/>
      <c r="H68" s="606"/>
      <c r="I68" s="606"/>
      <c r="J68" s="606"/>
      <c r="K68" s="606"/>
      <c r="L68" s="606"/>
      <c r="M68" s="606"/>
      <c r="N68" s="606"/>
      <c r="O68" s="606"/>
      <c r="P68" s="606"/>
      <c r="Q68" s="606"/>
      <c r="R68" s="606"/>
      <c r="S68" s="606"/>
      <c r="T68" s="606"/>
    </row>
    <row r="69" spans="1:20" ht="24">
      <c r="A69" s="607"/>
      <c r="B69" s="607"/>
      <c r="C69" s="607"/>
      <c r="D69" s="607"/>
      <c r="E69" s="607"/>
      <c r="F69" s="607"/>
      <c r="G69" s="607"/>
      <c r="H69" s="605" t="s">
        <v>584</v>
      </c>
      <c r="I69" s="607"/>
      <c r="J69" s="607"/>
      <c r="K69" s="607"/>
      <c r="L69" s="32">
        <f>ตารางแบ่งงวด!O13</f>
        <v>30</v>
      </c>
      <c r="M69" s="32" t="s">
        <v>585</v>
      </c>
      <c r="N69" s="607"/>
      <c r="O69" s="607"/>
      <c r="P69" s="607"/>
      <c r="Q69" s="607"/>
      <c r="R69" s="607"/>
      <c r="S69" s="607"/>
      <c r="T69" s="607"/>
    </row>
    <row r="70" spans="1:20" ht="24">
      <c r="A70" s="607"/>
      <c r="B70" s="607"/>
      <c r="D70" s="606"/>
      <c r="E70" s="606"/>
      <c r="F70" s="606"/>
      <c r="G70" s="606"/>
      <c r="H70" s="606"/>
      <c r="I70" s="606"/>
      <c r="J70" s="606"/>
      <c r="K70" s="606"/>
      <c r="L70" s="606"/>
      <c r="M70" s="606"/>
      <c r="N70" s="606"/>
      <c r="O70" s="606"/>
      <c r="P70" s="606"/>
      <c r="Q70" s="606"/>
      <c r="R70" s="606"/>
      <c r="S70" s="606"/>
      <c r="T70" s="606"/>
    </row>
    <row r="71" spans="1:20" ht="24">
      <c r="A71" s="609" t="s">
        <v>576</v>
      </c>
      <c r="B71" s="609"/>
      <c r="C71" s="36">
        <v>7</v>
      </c>
      <c r="D71" s="615" t="s">
        <v>577</v>
      </c>
      <c r="E71" s="615"/>
      <c r="F71" s="615"/>
      <c r="G71" s="38" t="e">
        <f>ตารางแบ่งงวด!F14</f>
        <v>#REF!</v>
      </c>
      <c r="H71" s="615" t="s">
        <v>578</v>
      </c>
      <c r="I71" s="615"/>
      <c r="J71" s="615"/>
      <c r="K71" s="615"/>
      <c r="L71" s="615"/>
      <c r="M71" s="615"/>
      <c r="N71" s="615"/>
      <c r="O71" s="615"/>
      <c r="P71" s="615"/>
      <c r="Q71" s="615"/>
      <c r="R71" s="615"/>
      <c r="S71" s="615"/>
      <c r="T71" s="615"/>
    </row>
    <row r="72" spans="1:20" ht="24">
      <c r="A72" s="607"/>
      <c r="B72" s="607"/>
      <c r="D72" s="615" t="s">
        <v>579</v>
      </c>
      <c r="E72" s="615"/>
      <c r="F72" s="615"/>
      <c r="G72" s="615"/>
      <c r="H72" s="615"/>
      <c r="I72" s="615"/>
      <c r="J72" s="615"/>
      <c r="K72" s="615"/>
      <c r="L72" s="615"/>
      <c r="M72" s="615"/>
      <c r="N72" s="615"/>
      <c r="O72" s="615"/>
      <c r="P72" s="615"/>
      <c r="Q72" s="615"/>
      <c r="R72" s="615"/>
      <c r="S72" s="615"/>
      <c r="T72" s="615"/>
    </row>
    <row r="73" spans="1:20" ht="24">
      <c r="A73" s="607"/>
      <c r="B73" s="607"/>
      <c r="D73" s="606" t="s">
        <v>618</v>
      </c>
      <c r="E73" s="606"/>
      <c r="F73" s="606"/>
      <c r="G73" s="606"/>
      <c r="H73" s="606"/>
      <c r="I73" s="606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</row>
    <row r="74" spans="1:20" ht="24">
      <c r="A74" s="607"/>
      <c r="B74" s="607"/>
      <c r="D74" s="606" t="s">
        <v>619</v>
      </c>
      <c r="E74" s="606"/>
      <c r="F74" s="606"/>
      <c r="G74" s="606"/>
      <c r="H74" s="606"/>
      <c r="I74" s="606"/>
      <c r="J74" s="606"/>
      <c r="K74" s="606"/>
      <c r="L74" s="606"/>
      <c r="M74" s="606"/>
      <c r="N74" s="606"/>
      <c r="O74" s="606"/>
      <c r="P74" s="606"/>
      <c r="Q74" s="606"/>
      <c r="R74" s="606"/>
      <c r="S74" s="606"/>
      <c r="T74" s="606"/>
    </row>
    <row r="75" spans="1:20" ht="24">
      <c r="A75" s="607"/>
      <c r="B75" s="607"/>
      <c r="D75" s="606" t="s">
        <v>620</v>
      </c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</row>
    <row r="76" spans="1:20" ht="24">
      <c r="A76" s="607"/>
      <c r="B76" s="607"/>
      <c r="D76" s="606"/>
      <c r="E76" s="606"/>
      <c r="F76" s="606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</row>
    <row r="77" spans="1:20" ht="24">
      <c r="A77" s="607"/>
      <c r="B77" s="607"/>
      <c r="C77" s="607"/>
      <c r="D77" s="607"/>
      <c r="E77" s="607"/>
      <c r="F77" s="607"/>
      <c r="G77" s="607"/>
      <c r="H77" s="605" t="s">
        <v>584</v>
      </c>
      <c r="I77" s="607"/>
      <c r="J77" s="607"/>
      <c r="K77" s="607"/>
      <c r="L77" s="32">
        <f>ตารางแบ่งงวด!O14</f>
        <v>30</v>
      </c>
      <c r="M77" s="32" t="s">
        <v>585</v>
      </c>
      <c r="N77" s="607"/>
      <c r="O77" s="607"/>
      <c r="P77" s="607"/>
      <c r="Q77" s="607"/>
      <c r="R77" s="607"/>
      <c r="S77" s="607"/>
      <c r="T77" s="607"/>
    </row>
    <row r="78" spans="1:20" ht="24">
      <c r="A78" s="607"/>
      <c r="B78" s="607"/>
      <c r="D78" s="606"/>
      <c r="E78" s="606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6"/>
    </row>
    <row r="79" spans="1:20" ht="24">
      <c r="A79" s="609" t="s">
        <v>576</v>
      </c>
      <c r="B79" s="609"/>
      <c r="C79" s="36">
        <v>8</v>
      </c>
      <c r="D79" s="615" t="s">
        <v>577</v>
      </c>
      <c r="E79" s="615"/>
      <c r="F79" s="615"/>
      <c r="G79" s="38" t="e">
        <f>ตารางแบ่งงวด!F15</f>
        <v>#REF!</v>
      </c>
      <c r="H79" s="615" t="s">
        <v>578</v>
      </c>
      <c r="I79" s="615"/>
      <c r="J79" s="615"/>
      <c r="K79" s="615"/>
      <c r="L79" s="615"/>
      <c r="M79" s="615"/>
      <c r="N79" s="615"/>
      <c r="O79" s="615"/>
      <c r="P79" s="615"/>
      <c r="Q79" s="615"/>
      <c r="R79" s="615"/>
      <c r="S79" s="615"/>
      <c r="T79" s="615"/>
    </row>
    <row r="80" spans="1:20" ht="24">
      <c r="A80" s="607"/>
      <c r="B80" s="607"/>
      <c r="D80" s="615" t="s">
        <v>579</v>
      </c>
      <c r="E80" s="615"/>
      <c r="F80" s="615"/>
      <c r="G80" s="615"/>
      <c r="H80" s="615"/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</row>
    <row r="81" spans="1:20" ht="24">
      <c r="A81" s="607"/>
      <c r="B81" s="607"/>
      <c r="D81" s="606" t="s">
        <v>621</v>
      </c>
      <c r="E81" s="606"/>
      <c r="F81" s="606"/>
      <c r="G81" s="606"/>
      <c r="H81" s="606"/>
      <c r="I81" s="606"/>
      <c r="J81" s="606"/>
      <c r="K81" s="606"/>
      <c r="L81" s="606"/>
      <c r="M81" s="606"/>
      <c r="N81" s="606"/>
      <c r="O81" s="606"/>
      <c r="P81" s="606"/>
      <c r="Q81" s="606"/>
      <c r="R81" s="606"/>
      <c r="S81" s="606"/>
      <c r="T81" s="606"/>
    </row>
    <row r="82" spans="1:20" ht="24">
      <c r="A82" s="607"/>
      <c r="B82" s="607"/>
      <c r="D82" s="606" t="s">
        <v>622</v>
      </c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</row>
    <row r="83" spans="1:20" ht="24">
      <c r="A83" s="607"/>
      <c r="B83" s="607"/>
      <c r="D83" s="606" t="s">
        <v>623</v>
      </c>
      <c r="E83" s="606"/>
      <c r="F83" s="606"/>
      <c r="G83" s="606"/>
      <c r="H83" s="606"/>
      <c r="I83" s="606"/>
      <c r="J83" s="606"/>
      <c r="K83" s="606"/>
      <c r="L83" s="606"/>
      <c r="M83" s="606"/>
      <c r="N83" s="606"/>
      <c r="O83" s="606"/>
      <c r="P83" s="606"/>
      <c r="Q83" s="606"/>
      <c r="R83" s="606"/>
      <c r="S83" s="606"/>
      <c r="T83" s="606"/>
    </row>
    <row r="84" spans="1:20" ht="24">
      <c r="A84" s="607"/>
      <c r="B84" s="607"/>
      <c r="D84" s="606" t="s">
        <v>624</v>
      </c>
      <c r="E84" s="606"/>
      <c r="F84" s="606"/>
      <c r="G84" s="606"/>
      <c r="H84" s="606"/>
      <c r="I84" s="606"/>
      <c r="J84" s="606"/>
      <c r="K84" s="606"/>
      <c r="L84" s="606"/>
      <c r="M84" s="606"/>
      <c r="N84" s="606"/>
      <c r="O84" s="606"/>
      <c r="P84" s="606"/>
      <c r="Q84" s="606"/>
      <c r="R84" s="606"/>
      <c r="S84" s="606"/>
      <c r="T84" s="606"/>
    </row>
    <row r="85" spans="1:20" ht="24">
      <c r="A85" s="607"/>
      <c r="B85" s="607"/>
      <c r="D85" s="606" t="s">
        <v>625</v>
      </c>
      <c r="E85" s="606"/>
      <c r="F85" s="606"/>
      <c r="G85" s="606"/>
      <c r="H85" s="606"/>
      <c r="I85" s="606"/>
      <c r="J85" s="606"/>
      <c r="K85" s="606"/>
      <c r="L85" s="606"/>
      <c r="M85" s="606"/>
      <c r="N85" s="606"/>
      <c r="O85" s="606"/>
      <c r="P85" s="606"/>
      <c r="Q85" s="606"/>
      <c r="R85" s="606"/>
      <c r="S85" s="606"/>
      <c r="T85" s="606"/>
    </row>
    <row r="86" spans="1:20" ht="24">
      <c r="A86" s="607"/>
      <c r="B86" s="607"/>
      <c r="D86" s="606" t="s">
        <v>626</v>
      </c>
      <c r="E86" s="606"/>
      <c r="F86" s="606"/>
      <c r="G86" s="606"/>
      <c r="H86" s="606"/>
      <c r="I86" s="606"/>
      <c r="J86" s="606"/>
      <c r="K86" s="606"/>
      <c r="L86" s="606"/>
      <c r="M86" s="606"/>
      <c r="N86" s="606"/>
      <c r="O86" s="606"/>
      <c r="P86" s="606"/>
      <c r="Q86" s="606"/>
      <c r="R86" s="606"/>
      <c r="S86" s="606"/>
      <c r="T86" s="606"/>
    </row>
    <row r="87" spans="1:20" ht="24">
      <c r="A87" s="607"/>
      <c r="B87" s="607"/>
      <c r="D87" s="606" t="s">
        <v>627</v>
      </c>
      <c r="E87" s="606"/>
      <c r="F87" s="606"/>
      <c r="G87" s="606"/>
      <c r="H87" s="606"/>
      <c r="I87" s="606"/>
      <c r="J87" s="606"/>
      <c r="K87" s="606"/>
      <c r="L87" s="606"/>
      <c r="M87" s="606"/>
      <c r="N87" s="606"/>
      <c r="O87" s="606"/>
      <c r="P87" s="606"/>
      <c r="Q87" s="606"/>
      <c r="R87" s="606"/>
      <c r="S87" s="606"/>
      <c r="T87" s="606"/>
    </row>
    <row r="88" spans="1:20" ht="24">
      <c r="A88" s="607"/>
      <c r="B88" s="607"/>
      <c r="D88" s="606" t="s">
        <v>628</v>
      </c>
      <c r="E88" s="606"/>
      <c r="F88" s="606"/>
      <c r="G88" s="606"/>
      <c r="H88" s="606"/>
      <c r="I88" s="606"/>
      <c r="J88" s="606"/>
      <c r="K88" s="606"/>
      <c r="L88" s="606"/>
      <c r="M88" s="606"/>
      <c r="N88" s="606"/>
      <c r="O88" s="606"/>
      <c r="P88" s="606"/>
      <c r="Q88" s="606"/>
      <c r="R88" s="606"/>
      <c r="S88" s="606"/>
      <c r="T88" s="606"/>
    </row>
    <row r="89" spans="1:20" ht="24">
      <c r="A89" s="607"/>
      <c r="B89" s="607"/>
      <c r="D89" s="606" t="s">
        <v>629</v>
      </c>
      <c r="E89" s="606"/>
      <c r="F89" s="606"/>
      <c r="G89" s="606"/>
      <c r="H89" s="606"/>
      <c r="I89" s="606"/>
      <c r="J89" s="606"/>
      <c r="K89" s="606"/>
      <c r="L89" s="606"/>
      <c r="M89" s="606"/>
      <c r="N89" s="606"/>
      <c r="O89" s="606"/>
      <c r="P89" s="606"/>
      <c r="Q89" s="606"/>
      <c r="R89" s="606"/>
      <c r="S89" s="606"/>
      <c r="T89" s="606"/>
    </row>
    <row r="90" spans="1:20" ht="24">
      <c r="A90" s="607"/>
      <c r="B90" s="607"/>
      <c r="D90" s="606" t="s">
        <v>630</v>
      </c>
      <c r="E90" s="606"/>
      <c r="F90" s="606"/>
      <c r="G90" s="606"/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  <c r="S90" s="606"/>
      <c r="T90" s="606"/>
    </row>
    <row r="91" spans="1:20" ht="24">
      <c r="A91" s="607"/>
      <c r="B91" s="607"/>
      <c r="D91" s="606"/>
      <c r="E91" s="606"/>
      <c r="F91" s="606"/>
      <c r="G91" s="606"/>
      <c r="H91" s="606"/>
      <c r="I91" s="606"/>
      <c r="J91" s="606"/>
      <c r="K91" s="606"/>
      <c r="L91" s="606"/>
      <c r="M91" s="606"/>
      <c r="N91" s="606"/>
      <c r="O91" s="606"/>
      <c r="P91" s="606"/>
      <c r="Q91" s="606"/>
      <c r="R91" s="606"/>
      <c r="S91" s="606"/>
      <c r="T91" s="606"/>
    </row>
    <row r="92" spans="1:20" ht="24">
      <c r="A92" s="607"/>
      <c r="B92" s="607"/>
      <c r="C92" s="607"/>
      <c r="D92" s="607"/>
      <c r="E92" s="607"/>
      <c r="F92" s="607"/>
      <c r="G92" s="607"/>
      <c r="H92" s="605" t="s">
        <v>584</v>
      </c>
      <c r="I92" s="607"/>
      <c r="J92" s="607"/>
      <c r="K92" s="607"/>
      <c r="L92" s="32">
        <f>ตารางแบ่งงวด!O15</f>
        <v>30</v>
      </c>
      <c r="M92" s="32" t="s">
        <v>585</v>
      </c>
      <c r="N92" s="607"/>
      <c r="O92" s="607"/>
      <c r="P92" s="607"/>
      <c r="Q92" s="607"/>
      <c r="R92" s="607"/>
      <c r="S92" s="607"/>
      <c r="T92" s="607"/>
    </row>
    <row r="93" spans="1:20" ht="24">
      <c r="A93" s="607"/>
      <c r="B93" s="607"/>
      <c r="D93" s="606"/>
      <c r="E93" s="606"/>
      <c r="F93" s="606"/>
      <c r="G93" s="606"/>
      <c r="H93" s="606"/>
      <c r="I93" s="606"/>
      <c r="J93" s="606"/>
      <c r="K93" s="606"/>
      <c r="L93" s="606"/>
      <c r="M93" s="606"/>
      <c r="N93" s="606"/>
      <c r="O93" s="606"/>
      <c r="P93" s="606"/>
      <c r="Q93" s="606"/>
      <c r="R93" s="606"/>
      <c r="S93" s="606"/>
      <c r="T93" s="606"/>
    </row>
    <row r="94" spans="1:20" ht="24">
      <c r="A94" s="609" t="s">
        <v>576</v>
      </c>
      <c r="B94" s="609"/>
      <c r="C94" s="36">
        <v>9</v>
      </c>
      <c r="D94" s="615" t="s">
        <v>577</v>
      </c>
      <c r="E94" s="615"/>
      <c r="F94" s="615"/>
      <c r="G94" s="38" t="e">
        <f>ตารางแบ่งงวด!F16</f>
        <v>#REF!</v>
      </c>
      <c r="H94" s="615" t="s">
        <v>578</v>
      </c>
      <c r="I94" s="615"/>
      <c r="J94" s="615"/>
      <c r="K94" s="615"/>
      <c r="L94" s="615"/>
      <c r="M94" s="615"/>
      <c r="N94" s="615"/>
      <c r="O94" s="615"/>
      <c r="P94" s="615"/>
      <c r="Q94" s="615"/>
      <c r="R94" s="615"/>
      <c r="S94" s="615"/>
      <c r="T94" s="615"/>
    </row>
    <row r="95" spans="1:20" ht="24">
      <c r="A95" s="607"/>
      <c r="B95" s="607"/>
      <c r="D95" s="615" t="s">
        <v>579</v>
      </c>
      <c r="E95" s="615"/>
      <c r="F95" s="615"/>
      <c r="G95" s="615"/>
      <c r="H95" s="615"/>
      <c r="I95" s="615"/>
      <c r="J95" s="615"/>
      <c r="K95" s="615"/>
      <c r="L95" s="615"/>
      <c r="M95" s="615"/>
      <c r="N95" s="615"/>
      <c r="O95" s="615"/>
      <c r="P95" s="615"/>
      <c r="Q95" s="615"/>
      <c r="R95" s="615"/>
      <c r="S95" s="615"/>
      <c r="T95" s="615"/>
    </row>
    <row r="96" spans="1:20" ht="24">
      <c r="A96" s="607"/>
      <c r="B96" s="607"/>
      <c r="D96" s="606" t="s">
        <v>631</v>
      </c>
      <c r="E96" s="606"/>
      <c r="F96" s="606"/>
      <c r="G96" s="606"/>
      <c r="H96" s="606"/>
      <c r="I96" s="606"/>
      <c r="J96" s="606"/>
      <c r="K96" s="606"/>
      <c r="L96" s="606"/>
      <c r="M96" s="606"/>
      <c r="N96" s="606"/>
      <c r="O96" s="606"/>
      <c r="P96" s="606"/>
      <c r="Q96" s="606"/>
      <c r="R96" s="606"/>
      <c r="S96" s="606"/>
      <c r="T96" s="606"/>
    </row>
    <row r="97" spans="1:20" ht="24">
      <c r="A97" s="607"/>
      <c r="B97" s="607"/>
      <c r="D97" s="606" t="s">
        <v>632</v>
      </c>
      <c r="E97" s="606"/>
      <c r="F97" s="606"/>
      <c r="G97" s="606"/>
      <c r="H97" s="606"/>
      <c r="I97" s="606"/>
      <c r="J97" s="606"/>
      <c r="K97" s="606"/>
      <c r="L97" s="606"/>
      <c r="M97" s="606"/>
      <c r="N97" s="606"/>
      <c r="O97" s="606"/>
      <c r="P97" s="606"/>
      <c r="Q97" s="606"/>
      <c r="R97" s="606"/>
      <c r="S97" s="606"/>
      <c r="T97" s="606"/>
    </row>
    <row r="98" spans="1:20" ht="24">
      <c r="A98" s="607"/>
      <c r="B98" s="607"/>
      <c r="D98" s="606" t="s">
        <v>633</v>
      </c>
      <c r="E98" s="606"/>
      <c r="F98" s="606"/>
      <c r="G98" s="606"/>
      <c r="H98" s="606"/>
      <c r="I98" s="606"/>
      <c r="J98" s="606"/>
      <c r="K98" s="606"/>
      <c r="L98" s="606"/>
      <c r="M98" s="606"/>
      <c r="N98" s="606"/>
      <c r="O98" s="606"/>
      <c r="P98" s="606"/>
      <c r="Q98" s="606"/>
      <c r="R98" s="606"/>
      <c r="S98" s="606"/>
      <c r="T98" s="606"/>
    </row>
    <row r="99" spans="1:20" ht="24">
      <c r="A99" s="607"/>
      <c r="B99" s="607"/>
      <c r="D99" s="606" t="s">
        <v>634</v>
      </c>
      <c r="E99" s="606"/>
      <c r="F99" s="606"/>
      <c r="G99" s="606"/>
      <c r="H99" s="606"/>
      <c r="I99" s="606"/>
      <c r="J99" s="606"/>
      <c r="K99" s="606"/>
      <c r="L99" s="606"/>
      <c r="M99" s="606"/>
      <c r="N99" s="606"/>
      <c r="O99" s="606"/>
      <c r="P99" s="606"/>
      <c r="Q99" s="606"/>
      <c r="R99" s="606"/>
      <c r="S99" s="606"/>
      <c r="T99" s="606"/>
    </row>
    <row r="100" spans="1:20" ht="24">
      <c r="A100" s="607"/>
      <c r="B100" s="607"/>
      <c r="D100" s="606" t="s">
        <v>634</v>
      </c>
      <c r="E100" s="606"/>
      <c r="F100" s="606"/>
      <c r="G100" s="606"/>
      <c r="H100" s="606"/>
      <c r="I100" s="606"/>
      <c r="J100" s="606"/>
      <c r="K100" s="606"/>
      <c r="L100" s="606"/>
      <c r="M100" s="606"/>
      <c r="N100" s="606"/>
      <c r="O100" s="606"/>
      <c r="P100" s="606"/>
      <c r="Q100" s="606"/>
      <c r="R100" s="606"/>
      <c r="S100" s="606"/>
      <c r="T100" s="606"/>
    </row>
    <row r="101" spans="1:20" ht="24">
      <c r="A101" s="607"/>
      <c r="B101" s="607"/>
      <c r="D101" s="606" t="s">
        <v>635</v>
      </c>
      <c r="E101" s="606"/>
      <c r="F101" s="606"/>
      <c r="G101" s="606"/>
      <c r="H101" s="606"/>
      <c r="I101" s="606"/>
      <c r="J101" s="606"/>
      <c r="K101" s="606"/>
      <c r="L101" s="606"/>
      <c r="M101" s="606"/>
      <c r="N101" s="606"/>
      <c r="O101" s="606"/>
      <c r="P101" s="606"/>
      <c r="Q101" s="606"/>
      <c r="R101" s="606"/>
      <c r="S101" s="606"/>
      <c r="T101" s="606"/>
    </row>
    <row r="102" spans="1:20" ht="24">
      <c r="A102" s="607"/>
      <c r="B102" s="607"/>
      <c r="D102" s="606" t="s">
        <v>636</v>
      </c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</row>
    <row r="103" spans="1:20" ht="24">
      <c r="A103" s="607"/>
      <c r="B103" s="607"/>
      <c r="D103" s="606" t="s">
        <v>637</v>
      </c>
      <c r="E103" s="606"/>
      <c r="F103" s="606"/>
      <c r="G103" s="606"/>
      <c r="H103" s="606"/>
      <c r="I103" s="606"/>
      <c r="J103" s="606"/>
      <c r="K103" s="606"/>
      <c r="L103" s="606"/>
      <c r="M103" s="606"/>
      <c r="N103" s="606"/>
      <c r="O103" s="606"/>
      <c r="P103" s="606"/>
      <c r="Q103" s="606"/>
      <c r="R103" s="606"/>
      <c r="S103" s="606"/>
      <c r="T103" s="606"/>
    </row>
    <row r="104" spans="1:20" ht="24">
      <c r="A104" s="607"/>
      <c r="B104" s="607"/>
      <c r="D104" s="606" t="s">
        <v>638</v>
      </c>
      <c r="E104" s="606"/>
      <c r="F104" s="606"/>
      <c r="G104" s="606"/>
      <c r="H104" s="606"/>
      <c r="I104" s="606"/>
      <c r="J104" s="606"/>
      <c r="K104" s="606"/>
      <c r="L104" s="606"/>
      <c r="M104" s="606"/>
      <c r="N104" s="606"/>
      <c r="O104" s="606"/>
      <c r="P104" s="606"/>
      <c r="Q104" s="606"/>
      <c r="R104" s="606"/>
      <c r="S104" s="606"/>
      <c r="T104" s="606"/>
    </row>
    <row r="105" spans="1:20" ht="24">
      <c r="A105" s="607"/>
      <c r="B105" s="607"/>
      <c r="D105" s="606" t="s">
        <v>639</v>
      </c>
      <c r="E105" s="606"/>
      <c r="F105" s="606"/>
      <c r="G105" s="606"/>
      <c r="H105" s="606"/>
      <c r="I105" s="606"/>
      <c r="J105" s="606"/>
      <c r="K105" s="606"/>
      <c r="L105" s="606"/>
      <c r="M105" s="606"/>
      <c r="N105" s="606"/>
      <c r="O105" s="606"/>
      <c r="P105" s="606"/>
      <c r="Q105" s="606"/>
      <c r="R105" s="606"/>
      <c r="S105" s="606"/>
      <c r="T105" s="606"/>
    </row>
    <row r="106" spans="1:20" ht="24">
      <c r="A106" s="607"/>
      <c r="B106" s="607"/>
      <c r="D106" s="606" t="s">
        <v>640</v>
      </c>
      <c r="E106" s="606"/>
      <c r="F106" s="606"/>
      <c r="G106" s="606"/>
      <c r="H106" s="606"/>
      <c r="I106" s="606"/>
      <c r="J106" s="606"/>
      <c r="K106" s="606"/>
      <c r="L106" s="606"/>
      <c r="M106" s="606"/>
      <c r="N106" s="606"/>
      <c r="O106" s="606"/>
      <c r="P106" s="606"/>
      <c r="Q106" s="606"/>
      <c r="R106" s="606"/>
      <c r="S106" s="606"/>
      <c r="T106" s="606"/>
    </row>
    <row r="107" spans="1:20" ht="24">
      <c r="A107" s="607"/>
      <c r="B107" s="607"/>
      <c r="D107" s="606" t="s">
        <v>641</v>
      </c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</row>
    <row r="108" spans="1:20" ht="24">
      <c r="A108" s="607"/>
      <c r="B108" s="607"/>
      <c r="D108" s="606" t="s">
        <v>642</v>
      </c>
      <c r="E108" s="606"/>
      <c r="F108" s="606"/>
      <c r="G108" s="606"/>
      <c r="H108" s="606"/>
      <c r="I108" s="606"/>
      <c r="J108" s="606"/>
      <c r="K108" s="606"/>
      <c r="L108" s="606"/>
      <c r="M108" s="606"/>
      <c r="N108" s="606"/>
      <c r="O108" s="606"/>
      <c r="P108" s="606"/>
      <c r="Q108" s="606"/>
      <c r="R108" s="606"/>
      <c r="S108" s="606"/>
      <c r="T108" s="606"/>
    </row>
    <row r="109" spans="1:20" ht="24">
      <c r="A109" s="607"/>
      <c r="B109" s="607"/>
      <c r="D109" s="606"/>
      <c r="E109" s="606"/>
      <c r="F109" s="606"/>
      <c r="G109" s="606"/>
      <c r="H109" s="606"/>
      <c r="I109" s="606"/>
      <c r="J109" s="606"/>
      <c r="K109" s="606"/>
      <c r="L109" s="606"/>
      <c r="M109" s="606"/>
      <c r="N109" s="606"/>
      <c r="O109" s="606"/>
      <c r="P109" s="606"/>
      <c r="Q109" s="606"/>
      <c r="R109" s="606"/>
      <c r="S109" s="606"/>
      <c r="T109" s="606"/>
    </row>
    <row r="110" spans="1:20" ht="24">
      <c r="A110" s="607"/>
      <c r="B110" s="607"/>
      <c r="C110" s="607"/>
      <c r="D110" s="607"/>
      <c r="E110" s="607"/>
      <c r="F110" s="607"/>
      <c r="G110" s="607"/>
      <c r="H110" s="605" t="s">
        <v>584</v>
      </c>
      <c r="I110" s="607"/>
      <c r="J110" s="607"/>
      <c r="K110" s="607"/>
      <c r="L110" s="32">
        <f>ตารางแบ่งงวด!O16</f>
        <v>30</v>
      </c>
      <c r="M110" s="32" t="s">
        <v>585</v>
      </c>
      <c r="N110" s="607"/>
      <c r="O110" s="607"/>
      <c r="P110" s="607"/>
      <c r="Q110" s="607"/>
      <c r="R110" s="607"/>
      <c r="S110" s="607"/>
      <c r="T110" s="607"/>
    </row>
    <row r="111" spans="1:20" ht="24">
      <c r="A111" s="607"/>
      <c r="B111" s="607"/>
      <c r="D111" s="606"/>
      <c r="E111" s="606"/>
      <c r="F111" s="606"/>
      <c r="G111" s="606"/>
      <c r="H111" s="606"/>
      <c r="I111" s="606"/>
      <c r="J111" s="606"/>
      <c r="K111" s="606"/>
      <c r="L111" s="606"/>
      <c r="M111" s="606"/>
      <c r="N111" s="606"/>
      <c r="O111" s="606"/>
      <c r="P111" s="606"/>
      <c r="Q111" s="606"/>
      <c r="R111" s="606"/>
      <c r="S111" s="606"/>
      <c r="T111" s="606"/>
    </row>
    <row r="112" spans="1:20" ht="24">
      <c r="A112" s="614" t="s">
        <v>502</v>
      </c>
      <c r="B112" s="614"/>
      <c r="C112" s="614"/>
      <c r="D112" s="613" t="s">
        <v>643</v>
      </c>
      <c r="E112" s="613"/>
      <c r="F112" s="613"/>
      <c r="G112" s="613"/>
      <c r="H112" s="613"/>
      <c r="I112" s="613"/>
      <c r="J112" s="613"/>
      <c r="K112" s="50">
        <f>9*30</f>
        <v>270</v>
      </c>
      <c r="L112" s="33" t="s">
        <v>585</v>
      </c>
      <c r="M112" s="35"/>
      <c r="N112" s="35"/>
      <c r="O112" s="35"/>
      <c r="P112" s="35"/>
      <c r="Q112" s="35"/>
      <c r="R112" s="35"/>
      <c r="S112" s="35"/>
      <c r="T112" s="35"/>
    </row>
    <row r="113" spans="1:20" ht="24">
      <c r="A113" s="607"/>
      <c r="B113" s="607"/>
      <c r="D113" s="613" t="s">
        <v>644</v>
      </c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</row>
    <row r="114" spans="1:20" ht="24">
      <c r="A114" s="607"/>
      <c r="B114" s="607"/>
      <c r="D114" s="606"/>
      <c r="E114" s="606"/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6"/>
      <c r="S114" s="606"/>
      <c r="T114" s="606"/>
    </row>
    <row r="115" spans="1:20" ht="24">
      <c r="A115" s="605" t="s">
        <v>645</v>
      </c>
      <c r="B115" s="605"/>
      <c r="C115" s="605"/>
      <c r="D115" s="605"/>
      <c r="E115" s="605"/>
      <c r="F115" s="605"/>
      <c r="G115" s="605"/>
      <c r="H115" s="605"/>
      <c r="I115" s="605"/>
      <c r="J115" s="605"/>
      <c r="K115" s="605"/>
      <c r="L115" s="605"/>
      <c r="M115" s="605"/>
      <c r="N115" s="605"/>
      <c r="O115" s="605"/>
      <c r="P115" s="605"/>
      <c r="Q115" s="605"/>
      <c r="R115" s="605"/>
      <c r="S115" s="605"/>
      <c r="T115" s="605"/>
    </row>
    <row r="116" spans="1:20" ht="24">
      <c r="A116" s="605" t="s">
        <v>646</v>
      </c>
      <c r="B116" s="605"/>
      <c r="C116" s="605"/>
      <c r="D116" s="605"/>
      <c r="E116" s="605"/>
      <c r="F116" s="605"/>
      <c r="G116" s="605"/>
      <c r="H116" s="605"/>
      <c r="I116" s="605"/>
      <c r="J116" s="605"/>
      <c r="K116" s="605"/>
      <c r="L116" s="605"/>
      <c r="M116" s="605"/>
      <c r="N116" s="605"/>
      <c r="O116" s="605"/>
      <c r="P116" s="605"/>
      <c r="Q116" s="605"/>
      <c r="R116" s="605"/>
      <c r="S116" s="605"/>
      <c r="T116" s="605"/>
    </row>
    <row r="117" spans="1:20" ht="24">
      <c r="A117" s="605" t="s">
        <v>308</v>
      </c>
      <c r="B117" s="605"/>
      <c r="C117" s="605"/>
      <c r="D117" s="605"/>
      <c r="E117" s="605"/>
      <c r="F117" s="605"/>
      <c r="G117" s="605"/>
      <c r="H117" s="605"/>
      <c r="I117" s="605"/>
      <c r="J117" s="605"/>
      <c r="K117" s="605"/>
      <c r="L117" s="605"/>
      <c r="M117" s="605"/>
      <c r="N117" s="605"/>
      <c r="O117" s="605"/>
      <c r="P117" s="605"/>
      <c r="Q117" s="605"/>
      <c r="R117" s="605"/>
      <c r="S117" s="605"/>
      <c r="T117" s="605"/>
    </row>
    <row r="118" spans="1:20" ht="24">
      <c r="A118" s="607"/>
      <c r="B118" s="607"/>
      <c r="D118" s="606"/>
      <c r="E118" s="606"/>
      <c r="F118" s="606"/>
      <c r="G118" s="606"/>
      <c r="H118" s="606"/>
      <c r="I118" s="606"/>
      <c r="J118" s="606"/>
      <c r="K118" s="606"/>
      <c r="L118" s="606"/>
      <c r="M118" s="606"/>
      <c r="N118" s="606"/>
      <c r="O118" s="606"/>
      <c r="P118" s="606"/>
      <c r="Q118" s="606"/>
      <c r="R118" s="606"/>
      <c r="S118" s="606"/>
      <c r="T118" s="606"/>
    </row>
    <row r="119" spans="1:20" ht="24">
      <c r="A119" s="607"/>
      <c r="B119" s="607"/>
      <c r="D119" s="606"/>
      <c r="E119" s="606"/>
      <c r="F119" s="606"/>
      <c r="G119" s="606"/>
      <c r="H119" s="606"/>
      <c r="I119" s="606"/>
      <c r="J119" s="606"/>
      <c r="K119" s="606"/>
      <c r="L119" s="606"/>
      <c r="M119" s="606"/>
      <c r="N119" s="606"/>
      <c r="O119" s="606"/>
      <c r="P119" s="606"/>
      <c r="Q119" s="606"/>
      <c r="R119" s="606"/>
      <c r="S119" s="606"/>
      <c r="T119" s="606"/>
    </row>
    <row r="120" spans="1:20" ht="25.5">
      <c r="A120" s="609" t="s">
        <v>565</v>
      </c>
      <c r="B120" s="609"/>
      <c r="C120" s="609"/>
      <c r="D120" s="609"/>
      <c r="E120" s="609"/>
      <c r="F120" s="35"/>
      <c r="G120" s="610" t="s">
        <v>647</v>
      </c>
      <c r="H120" s="610"/>
      <c r="I120" s="610"/>
      <c r="J120" s="610"/>
      <c r="K120" s="610"/>
      <c r="L120" s="610"/>
      <c r="M120" s="610"/>
      <c r="N120" s="608"/>
      <c r="O120" s="608"/>
      <c r="P120" s="608"/>
      <c r="Q120" s="608"/>
      <c r="R120" s="608"/>
      <c r="S120" s="608"/>
      <c r="T120" s="608"/>
    </row>
    <row r="121" spans="1:20" ht="24">
      <c r="A121" s="605" t="s">
        <v>671</v>
      </c>
      <c r="B121" s="605"/>
      <c r="C121" s="605"/>
      <c r="D121" s="605"/>
      <c r="E121" s="605"/>
      <c r="F121" s="605"/>
      <c r="G121" s="605"/>
      <c r="H121" s="605"/>
      <c r="I121" s="605"/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T121" s="605"/>
    </row>
    <row r="122" spans="1:20" ht="24">
      <c r="A122" s="605" t="s">
        <v>773</v>
      </c>
      <c r="B122" s="605"/>
      <c r="C122" s="605"/>
      <c r="D122" s="605"/>
      <c r="E122" s="605"/>
      <c r="F122" s="605"/>
      <c r="G122" s="605"/>
      <c r="H122" s="605"/>
      <c r="I122" s="605"/>
      <c r="J122" s="605"/>
      <c r="K122" s="605"/>
      <c r="L122" s="605"/>
      <c r="M122" s="605"/>
      <c r="N122" s="605"/>
      <c r="O122" s="605"/>
      <c r="P122" s="605"/>
      <c r="Q122" s="605"/>
      <c r="R122" s="605"/>
      <c r="S122" s="605"/>
      <c r="T122" s="605"/>
    </row>
    <row r="123" spans="1:20" ht="24">
      <c r="A123" s="607"/>
      <c r="B123" s="607"/>
      <c r="D123" s="606"/>
      <c r="E123" s="606"/>
      <c r="F123" s="606"/>
      <c r="G123" s="606"/>
      <c r="H123" s="606"/>
      <c r="I123" s="606"/>
      <c r="J123" s="606"/>
      <c r="K123" s="606"/>
      <c r="L123" s="606"/>
      <c r="M123" s="606"/>
      <c r="N123" s="606"/>
      <c r="O123" s="606"/>
      <c r="P123" s="606"/>
      <c r="Q123" s="606"/>
      <c r="R123" s="606"/>
      <c r="S123" s="606"/>
      <c r="T123" s="606"/>
    </row>
    <row r="124" spans="1:20" ht="25.5">
      <c r="A124" s="609" t="s">
        <v>566</v>
      </c>
      <c r="B124" s="609"/>
      <c r="C124" s="609"/>
      <c r="D124" s="609"/>
      <c r="E124" s="609"/>
      <c r="F124" s="35"/>
      <c r="G124" s="610" t="s">
        <v>647</v>
      </c>
      <c r="H124" s="610"/>
      <c r="I124" s="610"/>
      <c r="J124" s="610"/>
      <c r="K124" s="610"/>
      <c r="L124" s="610"/>
      <c r="M124" s="610"/>
      <c r="N124" s="608"/>
      <c r="O124" s="608"/>
      <c r="P124" s="608"/>
      <c r="Q124" s="608"/>
      <c r="R124" s="608"/>
      <c r="S124" s="608"/>
      <c r="T124" s="608"/>
    </row>
    <row r="125" spans="1:20" ht="24">
      <c r="A125" s="605" t="s">
        <v>306</v>
      </c>
      <c r="B125" s="605"/>
      <c r="C125" s="605"/>
      <c r="D125" s="605"/>
      <c r="E125" s="605"/>
      <c r="F125" s="605"/>
      <c r="G125" s="605"/>
      <c r="H125" s="605"/>
      <c r="I125" s="605"/>
      <c r="J125" s="605"/>
      <c r="K125" s="605"/>
      <c r="L125" s="605"/>
      <c r="M125" s="605"/>
      <c r="N125" s="605"/>
      <c r="O125" s="605"/>
      <c r="P125" s="605"/>
      <c r="Q125" s="605"/>
      <c r="R125" s="605"/>
      <c r="S125" s="605"/>
      <c r="T125" s="605"/>
    </row>
    <row r="126" spans="1:20" ht="24">
      <c r="A126" s="605" t="s">
        <v>569</v>
      </c>
      <c r="B126" s="605"/>
      <c r="C126" s="605"/>
      <c r="D126" s="605"/>
      <c r="E126" s="605"/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</row>
    <row r="127" spans="1:20" ht="24">
      <c r="A127" s="605" t="s">
        <v>307</v>
      </c>
      <c r="B127" s="605"/>
      <c r="C127" s="605"/>
      <c r="D127" s="605"/>
      <c r="E127" s="605"/>
      <c r="F127" s="605"/>
      <c r="G127" s="605"/>
      <c r="H127" s="605"/>
      <c r="I127" s="605"/>
      <c r="J127" s="605"/>
      <c r="K127" s="605"/>
      <c r="L127" s="605"/>
      <c r="M127" s="605"/>
      <c r="N127" s="605"/>
      <c r="O127" s="605"/>
      <c r="P127" s="605"/>
      <c r="Q127" s="605"/>
      <c r="R127" s="605"/>
      <c r="S127" s="605"/>
      <c r="T127" s="605"/>
    </row>
    <row r="128" spans="1:20" ht="24">
      <c r="A128" s="607"/>
      <c r="B128" s="607"/>
      <c r="D128" s="606"/>
      <c r="E128" s="606"/>
      <c r="F128" s="606"/>
      <c r="G128" s="606"/>
      <c r="H128" s="606"/>
      <c r="I128" s="606"/>
      <c r="J128" s="606"/>
      <c r="K128" s="606"/>
      <c r="L128" s="606"/>
      <c r="M128" s="606"/>
      <c r="N128" s="606"/>
      <c r="O128" s="606"/>
      <c r="P128" s="606"/>
      <c r="Q128" s="606"/>
      <c r="R128" s="606"/>
      <c r="S128" s="606"/>
      <c r="T128" s="606"/>
    </row>
    <row r="129" spans="1:20" ht="25.5">
      <c r="A129" s="609" t="s">
        <v>648</v>
      </c>
      <c r="B129" s="609"/>
      <c r="C129" s="609"/>
      <c r="D129" s="609"/>
      <c r="E129" s="609"/>
      <c r="F129" s="35"/>
      <c r="G129" s="610" t="s">
        <v>647</v>
      </c>
      <c r="H129" s="610"/>
      <c r="I129" s="610"/>
      <c r="J129" s="610"/>
      <c r="K129" s="610"/>
      <c r="L129" s="610"/>
      <c r="M129" s="610"/>
      <c r="N129" s="608"/>
      <c r="O129" s="608"/>
      <c r="P129" s="608"/>
      <c r="Q129" s="608"/>
      <c r="R129" s="608"/>
      <c r="S129" s="608"/>
      <c r="T129" s="608"/>
    </row>
    <row r="130" spans="1:20" ht="24">
      <c r="A130" s="605" t="s">
        <v>668</v>
      </c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  <c r="Q130" s="605"/>
      <c r="R130" s="605"/>
      <c r="S130" s="605"/>
      <c r="T130" s="605"/>
    </row>
    <row r="131" spans="1:20" ht="24">
      <c r="A131" s="605" t="s">
        <v>669</v>
      </c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</row>
    <row r="133" spans="1:20" ht="24">
      <c r="A133" s="611" t="s">
        <v>649</v>
      </c>
      <c r="B133" s="611"/>
      <c r="C133" s="611"/>
      <c r="D133" s="611"/>
      <c r="E133" s="611"/>
      <c r="F133" s="611"/>
      <c r="G133" s="611"/>
      <c r="H133" s="612">
        <v>1313545</v>
      </c>
      <c r="I133" s="612"/>
      <c r="J133" s="611" t="s">
        <v>652</v>
      </c>
      <c r="K133" s="611"/>
      <c r="L133" s="611"/>
      <c r="M133" s="611"/>
      <c r="N133" s="611"/>
      <c r="O133" s="611"/>
      <c r="P133" s="611"/>
      <c r="Q133" s="611"/>
      <c r="R133" s="611"/>
      <c r="S133" s="611"/>
      <c r="T133" s="611"/>
    </row>
    <row r="134" spans="1:20" ht="24">
      <c r="A134" s="611" t="s">
        <v>650</v>
      </c>
      <c r="B134" s="611"/>
      <c r="C134" s="611"/>
      <c r="D134" s="611"/>
      <c r="E134" s="611"/>
      <c r="F134" s="611"/>
      <c r="G134" s="611"/>
      <c r="H134" s="612">
        <v>5465654</v>
      </c>
      <c r="I134" s="612"/>
      <c r="J134" s="611" t="s">
        <v>560</v>
      </c>
      <c r="K134" s="611"/>
      <c r="L134" s="611"/>
      <c r="M134" s="611"/>
      <c r="N134" s="611"/>
      <c r="O134" s="611"/>
      <c r="P134" s="611"/>
      <c r="Q134" s="611"/>
      <c r="R134" s="611"/>
      <c r="S134" s="611"/>
      <c r="T134" s="611"/>
    </row>
    <row r="135" spans="1:20" ht="24">
      <c r="A135" s="611" t="s">
        <v>651</v>
      </c>
      <c r="B135" s="611"/>
      <c r="C135" s="611"/>
      <c r="D135" s="611"/>
      <c r="E135" s="611"/>
      <c r="F135" s="611"/>
      <c r="G135" s="611"/>
      <c r="H135" s="612"/>
      <c r="I135" s="612"/>
      <c r="J135" s="611" t="s">
        <v>653</v>
      </c>
      <c r="K135" s="611"/>
      <c r="L135" s="611"/>
      <c r="M135" s="611"/>
      <c r="N135" s="611"/>
      <c r="O135" s="611"/>
      <c r="P135" s="611"/>
      <c r="Q135" s="611"/>
      <c r="R135" s="611"/>
      <c r="S135" s="611"/>
      <c r="T135" s="611"/>
    </row>
    <row r="136" spans="1:20" ht="24">
      <c r="A136" s="611" t="s">
        <v>655</v>
      </c>
      <c r="B136" s="611"/>
      <c r="C136" s="611"/>
      <c r="D136" s="611"/>
      <c r="E136" s="611"/>
      <c r="F136" s="611"/>
      <c r="G136" s="611"/>
      <c r="H136" s="612"/>
      <c r="I136" s="612"/>
      <c r="J136" s="611" t="s">
        <v>654</v>
      </c>
      <c r="K136" s="611"/>
      <c r="L136" s="611"/>
      <c r="M136" s="611"/>
      <c r="N136" s="611"/>
      <c r="O136" s="611"/>
      <c r="P136" s="611"/>
      <c r="Q136" s="611"/>
      <c r="R136" s="611"/>
      <c r="S136" s="611"/>
      <c r="T136" s="611"/>
    </row>
  </sheetData>
  <sheetProtection/>
  <mergeCells count="284">
    <mergeCell ref="A1:T1"/>
    <mergeCell ref="A2:T2"/>
    <mergeCell ref="A3:T3"/>
    <mergeCell ref="A4:T4"/>
    <mergeCell ref="A5:T5"/>
    <mergeCell ref="A10:B10"/>
    <mergeCell ref="H6:T6"/>
    <mergeCell ref="A7:B7"/>
    <mergeCell ref="D12:T12"/>
    <mergeCell ref="A12:B12"/>
    <mergeCell ref="D7:T7"/>
    <mergeCell ref="A8:B8"/>
    <mergeCell ref="A16:B16"/>
    <mergeCell ref="D16:T16"/>
    <mergeCell ref="H15:T15"/>
    <mergeCell ref="A9:B9"/>
    <mergeCell ref="D8:T8"/>
    <mergeCell ref="D10:T10"/>
    <mergeCell ref="A17:B17"/>
    <mergeCell ref="D17:T17"/>
    <mergeCell ref="A6:B6"/>
    <mergeCell ref="D6:F6"/>
    <mergeCell ref="D9:T9"/>
    <mergeCell ref="D14:T14"/>
    <mergeCell ref="A13:G13"/>
    <mergeCell ref="H13:K13"/>
    <mergeCell ref="A15:B15"/>
    <mergeCell ref="D15:F15"/>
    <mergeCell ref="D11:T11"/>
    <mergeCell ref="N13:T13"/>
    <mergeCell ref="A14:B14"/>
    <mergeCell ref="A11:B11"/>
    <mergeCell ref="A22:B22"/>
    <mergeCell ref="D22:T22"/>
    <mergeCell ref="A18:B18"/>
    <mergeCell ref="D18:T18"/>
    <mergeCell ref="A19:B19"/>
    <mergeCell ref="D19:T19"/>
    <mergeCell ref="A20:B20"/>
    <mergeCell ref="D20:T20"/>
    <mergeCell ref="A21:B21"/>
    <mergeCell ref="D21:T21"/>
    <mergeCell ref="A23:B23"/>
    <mergeCell ref="D23:T23"/>
    <mergeCell ref="A25:B25"/>
    <mergeCell ref="D25:T25"/>
    <mergeCell ref="A24:G24"/>
    <mergeCell ref="H24:K24"/>
    <mergeCell ref="N24:T24"/>
    <mergeCell ref="A26:B26"/>
    <mergeCell ref="D26:F26"/>
    <mergeCell ref="H26:T26"/>
    <mergeCell ref="A30:B30"/>
    <mergeCell ref="D30:T30"/>
    <mergeCell ref="A27:B27"/>
    <mergeCell ref="D27:T27"/>
    <mergeCell ref="A28:B28"/>
    <mergeCell ref="D29:T29"/>
    <mergeCell ref="D28:T28"/>
    <mergeCell ref="A29:B29"/>
    <mergeCell ref="A38:B38"/>
    <mergeCell ref="D38:F38"/>
    <mergeCell ref="H38:T38"/>
    <mergeCell ref="A31:B31"/>
    <mergeCell ref="D31:T31"/>
    <mergeCell ref="A32:B32"/>
    <mergeCell ref="D32:T32"/>
    <mergeCell ref="A33:B33"/>
    <mergeCell ref="A36:G36"/>
    <mergeCell ref="H36:K36"/>
    <mergeCell ref="N36:T36"/>
    <mergeCell ref="A37:B37"/>
    <mergeCell ref="D37:T37"/>
    <mergeCell ref="D33:T33"/>
    <mergeCell ref="A34:B34"/>
    <mergeCell ref="A35:B35"/>
    <mergeCell ref="D35:T35"/>
    <mergeCell ref="D34:T34"/>
    <mergeCell ref="A42:B42"/>
    <mergeCell ref="D42:T42"/>
    <mergeCell ref="A39:B39"/>
    <mergeCell ref="D39:T39"/>
    <mergeCell ref="A40:B40"/>
    <mergeCell ref="D40:T40"/>
    <mergeCell ref="A41:B41"/>
    <mergeCell ref="D41:T41"/>
    <mergeCell ref="A45:B45"/>
    <mergeCell ref="D45:T45"/>
    <mergeCell ref="A43:B43"/>
    <mergeCell ref="D43:T43"/>
    <mergeCell ref="A44:B44"/>
    <mergeCell ref="D44:T44"/>
    <mergeCell ref="A48:G48"/>
    <mergeCell ref="H48:K48"/>
    <mergeCell ref="N48:T48"/>
    <mergeCell ref="A46:B46"/>
    <mergeCell ref="D46:T46"/>
    <mergeCell ref="A47:B47"/>
    <mergeCell ref="D47:T47"/>
    <mergeCell ref="D51:T51"/>
    <mergeCell ref="A56:B56"/>
    <mergeCell ref="D56:T56"/>
    <mergeCell ref="A52:B52"/>
    <mergeCell ref="D52:T52"/>
    <mergeCell ref="A53:B53"/>
    <mergeCell ref="D53:T53"/>
    <mergeCell ref="A54:B54"/>
    <mergeCell ref="D54:T54"/>
    <mergeCell ref="A66:B66"/>
    <mergeCell ref="D66:T66"/>
    <mergeCell ref="A49:B49"/>
    <mergeCell ref="D49:T49"/>
    <mergeCell ref="A50:B50"/>
    <mergeCell ref="D50:F50"/>
    <mergeCell ref="H50:T50"/>
    <mergeCell ref="A55:B55"/>
    <mergeCell ref="D55:T55"/>
    <mergeCell ref="A51:B51"/>
    <mergeCell ref="A65:B65"/>
    <mergeCell ref="D65:T65"/>
    <mergeCell ref="A61:B61"/>
    <mergeCell ref="D61:T61"/>
    <mergeCell ref="A62:B62"/>
    <mergeCell ref="D62:T62"/>
    <mergeCell ref="A64:B64"/>
    <mergeCell ref="D64:T64"/>
    <mergeCell ref="A59:B59"/>
    <mergeCell ref="A57:B57"/>
    <mergeCell ref="D57:T57"/>
    <mergeCell ref="A58:G58"/>
    <mergeCell ref="H58:K58"/>
    <mergeCell ref="N58:T58"/>
    <mergeCell ref="A67:B67"/>
    <mergeCell ref="D67:T67"/>
    <mergeCell ref="A68:B68"/>
    <mergeCell ref="D68:T68"/>
    <mergeCell ref="D59:T59"/>
    <mergeCell ref="A60:B60"/>
    <mergeCell ref="A63:B63"/>
    <mergeCell ref="D63:T63"/>
    <mergeCell ref="D60:F60"/>
    <mergeCell ref="H60:T60"/>
    <mergeCell ref="D71:F71"/>
    <mergeCell ref="H71:T71"/>
    <mergeCell ref="A70:B70"/>
    <mergeCell ref="D70:T70"/>
    <mergeCell ref="A71:B71"/>
    <mergeCell ref="N69:T69"/>
    <mergeCell ref="A69:G69"/>
    <mergeCell ref="H69:K69"/>
    <mergeCell ref="A76:B76"/>
    <mergeCell ref="D76:T76"/>
    <mergeCell ref="A72:B72"/>
    <mergeCell ref="D72:T72"/>
    <mergeCell ref="A73:B73"/>
    <mergeCell ref="D73:T73"/>
    <mergeCell ref="A74:B74"/>
    <mergeCell ref="D74:T74"/>
    <mergeCell ref="A75:B75"/>
    <mergeCell ref="D75:T75"/>
    <mergeCell ref="A77:G77"/>
    <mergeCell ref="H77:K77"/>
    <mergeCell ref="N77:T77"/>
    <mergeCell ref="A82:B82"/>
    <mergeCell ref="D82:T82"/>
    <mergeCell ref="A79:B79"/>
    <mergeCell ref="A80:B80"/>
    <mergeCell ref="D80:T80"/>
    <mergeCell ref="A78:B78"/>
    <mergeCell ref="D78:T78"/>
    <mergeCell ref="D79:F79"/>
    <mergeCell ref="H79:T79"/>
    <mergeCell ref="A81:B81"/>
    <mergeCell ref="D81:T81"/>
    <mergeCell ref="A84:B84"/>
    <mergeCell ref="D84:T84"/>
    <mergeCell ref="A85:B85"/>
    <mergeCell ref="D85:T85"/>
    <mergeCell ref="A83:B83"/>
    <mergeCell ref="D83:T83"/>
    <mergeCell ref="A89:B89"/>
    <mergeCell ref="D89:T89"/>
    <mergeCell ref="A86:B86"/>
    <mergeCell ref="D86:T86"/>
    <mergeCell ref="A87:B87"/>
    <mergeCell ref="D87:T87"/>
    <mergeCell ref="A88:B88"/>
    <mergeCell ref="D88:T88"/>
    <mergeCell ref="D95:T95"/>
    <mergeCell ref="A96:B96"/>
    <mergeCell ref="A92:G92"/>
    <mergeCell ref="H92:K92"/>
    <mergeCell ref="N92:T92"/>
    <mergeCell ref="A90:B90"/>
    <mergeCell ref="D90:T90"/>
    <mergeCell ref="A91:B91"/>
    <mergeCell ref="D91:T91"/>
    <mergeCell ref="A105:B105"/>
    <mergeCell ref="D105:T105"/>
    <mergeCell ref="A93:B93"/>
    <mergeCell ref="D93:T93"/>
    <mergeCell ref="A98:B98"/>
    <mergeCell ref="D98:T98"/>
    <mergeCell ref="A94:B94"/>
    <mergeCell ref="D94:F94"/>
    <mergeCell ref="H94:T94"/>
    <mergeCell ref="A95:B95"/>
    <mergeCell ref="D96:T96"/>
    <mergeCell ref="A97:B97"/>
    <mergeCell ref="D97:T97"/>
    <mergeCell ref="A100:B100"/>
    <mergeCell ref="D100:T100"/>
    <mergeCell ref="A104:B104"/>
    <mergeCell ref="D104:T104"/>
    <mergeCell ref="A103:B103"/>
    <mergeCell ref="D103:T103"/>
    <mergeCell ref="A99:B99"/>
    <mergeCell ref="D99:T99"/>
    <mergeCell ref="A101:B101"/>
    <mergeCell ref="D101:T101"/>
    <mergeCell ref="A102:B102"/>
    <mergeCell ref="D102:T102"/>
    <mergeCell ref="D106:T106"/>
    <mergeCell ref="A107:B107"/>
    <mergeCell ref="D107:T107"/>
    <mergeCell ref="A112:C112"/>
    <mergeCell ref="D112:J112"/>
    <mergeCell ref="A108:B108"/>
    <mergeCell ref="D108:T108"/>
    <mergeCell ref="A111:B111"/>
    <mergeCell ref="D111:T111"/>
    <mergeCell ref="A106:B106"/>
    <mergeCell ref="N120:T120"/>
    <mergeCell ref="A115:T115"/>
    <mergeCell ref="A116:T116"/>
    <mergeCell ref="A109:B109"/>
    <mergeCell ref="D109:T109"/>
    <mergeCell ref="A110:G110"/>
    <mergeCell ref="H110:K110"/>
    <mergeCell ref="N110:T110"/>
    <mergeCell ref="A114:B114"/>
    <mergeCell ref="D114:T114"/>
    <mergeCell ref="A113:B113"/>
    <mergeCell ref="D113:T113"/>
    <mergeCell ref="A121:T121"/>
    <mergeCell ref="A135:G135"/>
    <mergeCell ref="R135:T135"/>
    <mergeCell ref="A127:T127"/>
    <mergeCell ref="A129:E129"/>
    <mergeCell ref="G129:M129"/>
    <mergeCell ref="A120:E120"/>
    <mergeCell ref="G120:M120"/>
    <mergeCell ref="A134:G134"/>
    <mergeCell ref="H133:I133"/>
    <mergeCell ref="H134:I134"/>
    <mergeCell ref="J133:Q133"/>
    <mergeCell ref="A117:T117"/>
    <mergeCell ref="R136:T136"/>
    <mergeCell ref="A118:B118"/>
    <mergeCell ref="D118:T118"/>
    <mergeCell ref="A119:B119"/>
    <mergeCell ref="D119:T119"/>
    <mergeCell ref="A136:G136"/>
    <mergeCell ref="H135:I135"/>
    <mergeCell ref="H136:I136"/>
    <mergeCell ref="J135:Q135"/>
    <mergeCell ref="J136:Q136"/>
    <mergeCell ref="A131:T131"/>
    <mergeCell ref="A133:G133"/>
    <mergeCell ref="R133:T133"/>
    <mergeCell ref="J134:Q134"/>
    <mergeCell ref="R134:T134"/>
    <mergeCell ref="A122:T122"/>
    <mergeCell ref="A124:E124"/>
    <mergeCell ref="G124:M124"/>
    <mergeCell ref="N124:T124"/>
    <mergeCell ref="A123:B123"/>
    <mergeCell ref="D123:T123"/>
    <mergeCell ref="A125:T125"/>
    <mergeCell ref="A126:T126"/>
    <mergeCell ref="D128:T128"/>
    <mergeCell ref="A130:T130"/>
    <mergeCell ref="A128:B128"/>
    <mergeCell ref="N129:T129"/>
  </mergeCells>
  <printOptions horizontalCentered="1"/>
  <pageMargins left="0.8661417322834646" right="0.3937007874015748" top="0.5511811023622047" bottom="0.2362204724409449" header="0.1968503937007874" footer="0.11811023622047245"/>
  <pageSetup horizontalDpi="300" verticalDpi="300" orientation="portrait" paperSize="9" r:id="rId1"/>
  <headerFooter alignWithMargins="0">
    <oddHeader>&amp;R&amp;12 4727  P &amp;P /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J97"/>
  <sheetViews>
    <sheetView showGridLines="0" view="pageBreakPreview" zoomScaleNormal="150" zoomScaleSheetLayoutView="100" zoomScalePageLayoutView="0" workbookViewId="0" topLeftCell="A1">
      <selection activeCell="A1" sqref="A1:V29"/>
    </sheetView>
  </sheetViews>
  <sheetFormatPr defaultColWidth="9.140625" defaultRowHeight="21.75"/>
  <cols>
    <col min="1" max="1" width="4.57421875" style="0" customWidth="1"/>
    <col min="2" max="2" width="6.57421875" style="0" customWidth="1"/>
    <col min="3" max="3" width="10.140625" style="0" customWidth="1"/>
    <col min="4" max="4" width="9.7109375" style="0" customWidth="1"/>
    <col min="5" max="5" width="12.140625" style="0" customWidth="1"/>
    <col min="6" max="6" width="12.28125" style="0" customWidth="1"/>
    <col min="7" max="7" width="15.8515625" style="0" customWidth="1"/>
    <col min="10" max="10" width="11.8515625" style="0" customWidth="1"/>
    <col min="11" max="11" width="1.57421875" style="0" customWidth="1"/>
  </cols>
  <sheetData>
    <row r="1" spans="1:10" ht="21.75" customHeight="1">
      <c r="A1" s="865" t="s">
        <v>730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0" ht="21.7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37.5">
      <c r="A3" s="866" t="s">
        <v>682</v>
      </c>
      <c r="B3" s="866"/>
      <c r="C3" s="866"/>
      <c r="D3" s="866"/>
      <c r="E3" s="866"/>
      <c r="F3" s="866"/>
      <c r="G3" s="866"/>
      <c r="H3" s="866"/>
      <c r="I3" s="866"/>
      <c r="J3" s="866"/>
    </row>
    <row r="4" spans="1:10" ht="21.7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ht="21.75" customHeight="1">
      <c r="A5" s="57"/>
      <c r="B5" s="99" t="s">
        <v>559</v>
      </c>
      <c r="C5" s="99"/>
      <c r="D5" s="100" t="e">
        <f>#REF!</f>
        <v>#REF!</v>
      </c>
      <c r="E5" s="99" t="s">
        <v>731</v>
      </c>
      <c r="F5" s="99"/>
      <c r="G5" s="99" t="s">
        <v>732</v>
      </c>
      <c r="H5" s="57" t="e">
        <f>#REF!</f>
        <v>#REF!</v>
      </c>
      <c r="I5" s="99" t="s">
        <v>733</v>
      </c>
      <c r="J5" s="99"/>
    </row>
    <row r="6" spans="1:10" ht="21.75" customHeight="1">
      <c r="A6" s="57"/>
      <c r="B6" s="99" t="s">
        <v>734</v>
      </c>
      <c r="C6" s="99"/>
      <c r="D6" s="57">
        <v>3</v>
      </c>
      <c r="E6" s="99" t="s">
        <v>735</v>
      </c>
      <c r="F6" s="99"/>
      <c r="G6" s="99" t="s">
        <v>736</v>
      </c>
      <c r="H6" s="57" t="e">
        <f>#REF!</f>
        <v>#REF!</v>
      </c>
      <c r="I6" s="99" t="s">
        <v>733</v>
      </c>
      <c r="J6" s="99"/>
    </row>
    <row r="7" spans="1:10" s="105" customFormat="1" ht="27.75" customHeight="1">
      <c r="A7" s="101"/>
      <c r="B7" s="102" t="s">
        <v>737</v>
      </c>
      <c r="C7" s="103" t="s">
        <v>738</v>
      </c>
      <c r="D7" s="101"/>
      <c r="E7" s="101"/>
      <c r="F7" s="101"/>
      <c r="G7" s="101"/>
      <c r="H7" s="101"/>
      <c r="I7" s="101"/>
      <c r="J7" s="104"/>
    </row>
    <row r="8" spans="1:10" ht="21.75" customHeight="1">
      <c r="A8" s="57"/>
      <c r="B8" s="106"/>
      <c r="C8" s="106"/>
      <c r="D8" s="57"/>
      <c r="E8" s="57"/>
      <c r="F8" s="57"/>
      <c r="G8" s="57"/>
      <c r="H8" s="57"/>
      <c r="I8" s="57"/>
      <c r="J8" s="57"/>
    </row>
    <row r="9" spans="1:10" ht="21.75" customHeight="1">
      <c r="A9" s="876" t="s">
        <v>558</v>
      </c>
      <c r="B9" s="877"/>
      <c r="C9" s="107" t="s">
        <v>679</v>
      </c>
      <c r="D9" s="107" t="s">
        <v>739</v>
      </c>
      <c r="E9" s="107" t="s">
        <v>740</v>
      </c>
      <c r="F9" s="107" t="s">
        <v>741</v>
      </c>
      <c r="G9" s="107" t="s">
        <v>742</v>
      </c>
      <c r="H9" s="878" t="s">
        <v>502</v>
      </c>
      <c r="I9" s="879"/>
      <c r="J9" s="880"/>
    </row>
    <row r="10" spans="1:10" ht="21.75" customHeight="1">
      <c r="A10" s="108"/>
      <c r="B10" s="109"/>
      <c r="C10" s="110"/>
      <c r="D10" s="110" t="s">
        <v>743</v>
      </c>
      <c r="E10" s="110" t="s">
        <v>744</v>
      </c>
      <c r="F10" s="110" t="s">
        <v>559</v>
      </c>
      <c r="G10" s="110" t="s">
        <v>745</v>
      </c>
      <c r="H10" s="881"/>
      <c r="I10" s="882"/>
      <c r="J10" s="883"/>
    </row>
    <row r="11" spans="1:10" ht="21.75" customHeight="1">
      <c r="A11" s="887" t="s">
        <v>680</v>
      </c>
      <c r="B11" s="888"/>
      <c r="C11" s="111" t="s">
        <v>681</v>
      </c>
      <c r="D11" s="111" t="s">
        <v>678</v>
      </c>
      <c r="E11" s="111" t="s">
        <v>678</v>
      </c>
      <c r="F11" s="111" t="s">
        <v>746</v>
      </c>
      <c r="G11" s="111" t="s">
        <v>678</v>
      </c>
      <c r="H11" s="884"/>
      <c r="I11" s="885"/>
      <c r="J11" s="886"/>
    </row>
    <row r="12" spans="1:10" ht="21.75" customHeight="1">
      <c r="A12" s="112" t="s">
        <v>684</v>
      </c>
      <c r="B12" s="113" t="e">
        <f>#REF!</f>
        <v>#REF!</v>
      </c>
      <c r="C12" s="114">
        <v>6</v>
      </c>
      <c r="D12" s="115" t="e">
        <f aca="true" t="shared" si="0" ref="D12:D35">$H$5</f>
        <v>#REF!</v>
      </c>
      <c r="E12" s="115" t="e">
        <f aca="true" t="shared" si="1" ref="E12:E35">$H$6</f>
        <v>#REF!</v>
      </c>
      <c r="F12" s="114" t="e">
        <f aca="true" t="shared" si="2" ref="F12:F35">$D$5</f>
        <v>#REF!</v>
      </c>
      <c r="G12" s="116" t="e">
        <f>-F12/12*(E12/100+(C12+$D$6-1)*D12/100-(D12+E12)/100*(C12+1)/2-($D$6-1))</f>
        <v>#REF!</v>
      </c>
      <c r="H12" s="117"/>
      <c r="I12" s="117"/>
      <c r="J12" s="118"/>
    </row>
    <row r="13" spans="1:10" ht="21.75" customHeight="1">
      <c r="A13" s="119"/>
      <c r="B13" s="120" t="e">
        <f>#REF!</f>
        <v>#REF!</v>
      </c>
      <c r="C13" s="121">
        <v>6</v>
      </c>
      <c r="D13" s="122" t="e">
        <f t="shared" si="0"/>
        <v>#REF!</v>
      </c>
      <c r="E13" s="122" t="e">
        <f t="shared" si="1"/>
        <v>#REF!</v>
      </c>
      <c r="F13" s="121" t="e">
        <f t="shared" si="2"/>
        <v>#REF!</v>
      </c>
      <c r="G13" s="123" t="e">
        <f>-F13/12*(E13/100+(C13+$D$6-1)*D13/100-(D13+E13)/100*(C13+1)/2-($D$6-1))</f>
        <v>#REF!</v>
      </c>
      <c r="H13" s="124" t="s">
        <v>747</v>
      </c>
      <c r="I13" s="117"/>
      <c r="J13" s="125"/>
    </row>
    <row r="14" spans="1:10" ht="21.75" customHeight="1">
      <c r="A14" s="119"/>
      <c r="B14" s="120" t="e">
        <f>#REF!</f>
        <v>#REF!</v>
      </c>
      <c r="C14" s="121">
        <v>9</v>
      </c>
      <c r="D14" s="122" t="e">
        <f t="shared" si="0"/>
        <v>#REF!</v>
      </c>
      <c r="E14" s="122" t="e">
        <f t="shared" si="1"/>
        <v>#REF!</v>
      </c>
      <c r="F14" s="121" t="e">
        <f t="shared" si="2"/>
        <v>#REF!</v>
      </c>
      <c r="G14" s="123" t="e">
        <f aca="true" t="shared" si="3" ref="G14:G35">-F14/12*(E14/100+(C14+$D$6-1)*D14/100-(D14+E14)/100*(C14+1)/2-($D$6-1))</f>
        <v>#REF!</v>
      </c>
      <c r="H14" s="126" t="s">
        <v>748</v>
      </c>
      <c r="I14" s="127" t="s">
        <v>749</v>
      </c>
      <c r="J14" s="125"/>
    </row>
    <row r="15" spans="1:10" ht="21.75" customHeight="1">
      <c r="A15" s="119"/>
      <c r="B15" s="120" t="e">
        <f>#REF!</f>
        <v>#REF!</v>
      </c>
      <c r="C15" s="121">
        <v>12</v>
      </c>
      <c r="D15" s="122" t="e">
        <f t="shared" si="0"/>
        <v>#REF!</v>
      </c>
      <c r="E15" s="122" t="e">
        <f t="shared" si="1"/>
        <v>#REF!</v>
      </c>
      <c r="F15" s="121" t="e">
        <f t="shared" si="2"/>
        <v>#REF!</v>
      </c>
      <c r="G15" s="123" t="e">
        <f t="shared" si="3"/>
        <v>#REF!</v>
      </c>
      <c r="H15" s="126" t="s">
        <v>750</v>
      </c>
      <c r="I15" s="127" t="s">
        <v>751</v>
      </c>
      <c r="J15" s="125"/>
    </row>
    <row r="16" spans="1:10" ht="21.75" customHeight="1">
      <c r="A16" s="119"/>
      <c r="B16" s="120" t="e">
        <f>#REF!</f>
        <v>#REF!</v>
      </c>
      <c r="C16" s="121">
        <v>15</v>
      </c>
      <c r="D16" s="122" t="e">
        <f t="shared" si="0"/>
        <v>#REF!</v>
      </c>
      <c r="E16" s="122" t="e">
        <f t="shared" si="1"/>
        <v>#REF!</v>
      </c>
      <c r="F16" s="121" t="e">
        <f t="shared" si="2"/>
        <v>#REF!</v>
      </c>
      <c r="G16" s="123" t="e">
        <f t="shared" si="3"/>
        <v>#REF!</v>
      </c>
      <c r="H16" s="126" t="s">
        <v>752</v>
      </c>
      <c r="I16" s="127" t="s">
        <v>753</v>
      </c>
      <c r="J16" s="125"/>
    </row>
    <row r="17" spans="1:10" ht="21.75" customHeight="1">
      <c r="A17" s="119"/>
      <c r="B17" s="120" t="e">
        <f>#REF!</f>
        <v>#REF!</v>
      </c>
      <c r="C17" s="121">
        <v>15</v>
      </c>
      <c r="D17" s="122" t="e">
        <f t="shared" si="0"/>
        <v>#REF!</v>
      </c>
      <c r="E17" s="122" t="e">
        <f t="shared" si="1"/>
        <v>#REF!</v>
      </c>
      <c r="F17" s="121" t="e">
        <f t="shared" si="2"/>
        <v>#REF!</v>
      </c>
      <c r="G17" s="123" t="e">
        <f t="shared" si="3"/>
        <v>#REF!</v>
      </c>
      <c r="H17" s="126" t="s">
        <v>754</v>
      </c>
      <c r="I17" s="127" t="s">
        <v>755</v>
      </c>
      <c r="J17" s="125"/>
    </row>
    <row r="18" spans="1:10" ht="21.75" customHeight="1">
      <c r="A18" s="119"/>
      <c r="B18" s="120" t="e">
        <f>#REF!</f>
        <v>#REF!</v>
      </c>
      <c r="C18" s="121">
        <v>16</v>
      </c>
      <c r="D18" s="122" t="e">
        <f t="shared" si="0"/>
        <v>#REF!</v>
      </c>
      <c r="E18" s="122" t="e">
        <f t="shared" si="1"/>
        <v>#REF!</v>
      </c>
      <c r="F18" s="121" t="e">
        <f t="shared" si="2"/>
        <v>#REF!</v>
      </c>
      <c r="G18" s="123" t="e">
        <f t="shared" si="3"/>
        <v>#REF!</v>
      </c>
      <c r="H18" s="126" t="s">
        <v>756</v>
      </c>
      <c r="I18" s="127" t="s">
        <v>757</v>
      </c>
      <c r="J18" s="125"/>
    </row>
    <row r="19" spans="1:10" ht="21.75" customHeight="1">
      <c r="A19" s="119"/>
      <c r="B19" s="120" t="e">
        <f>#REF!</f>
        <v>#REF!</v>
      </c>
      <c r="C19" s="121">
        <v>16</v>
      </c>
      <c r="D19" s="122" t="e">
        <f t="shared" si="0"/>
        <v>#REF!</v>
      </c>
      <c r="E19" s="122" t="e">
        <f t="shared" si="1"/>
        <v>#REF!</v>
      </c>
      <c r="F19" s="121" t="e">
        <f t="shared" si="2"/>
        <v>#REF!</v>
      </c>
      <c r="G19" s="123" t="e">
        <f t="shared" si="3"/>
        <v>#REF!</v>
      </c>
      <c r="H19" s="126" t="s">
        <v>758</v>
      </c>
      <c r="I19" s="127" t="s">
        <v>759</v>
      </c>
      <c r="J19" s="125"/>
    </row>
    <row r="20" spans="1:10" ht="21.75" customHeight="1">
      <c r="A20" s="119"/>
      <c r="B20" s="120" t="e">
        <f>#REF!</f>
        <v>#REF!</v>
      </c>
      <c r="C20" s="121">
        <v>17</v>
      </c>
      <c r="D20" s="122" t="e">
        <f t="shared" si="0"/>
        <v>#REF!</v>
      </c>
      <c r="E20" s="122" t="e">
        <f t="shared" si="1"/>
        <v>#REF!</v>
      </c>
      <c r="F20" s="121" t="e">
        <f t="shared" si="2"/>
        <v>#REF!</v>
      </c>
      <c r="G20" s="123" t="e">
        <f t="shared" si="3"/>
        <v>#REF!</v>
      </c>
      <c r="H20" s="117"/>
      <c r="I20" s="117"/>
      <c r="J20" s="125"/>
    </row>
    <row r="21" spans="1:10" ht="21.75" customHeight="1">
      <c r="A21" s="119"/>
      <c r="B21" s="120" t="e">
        <f>#REF!</f>
        <v>#REF!</v>
      </c>
      <c r="C21" s="121">
        <v>17</v>
      </c>
      <c r="D21" s="122" t="e">
        <f t="shared" si="0"/>
        <v>#REF!</v>
      </c>
      <c r="E21" s="122" t="e">
        <f t="shared" si="1"/>
        <v>#REF!</v>
      </c>
      <c r="F21" s="121" t="e">
        <f t="shared" si="2"/>
        <v>#REF!</v>
      </c>
      <c r="G21" s="123" t="e">
        <f t="shared" si="3"/>
        <v>#REF!</v>
      </c>
      <c r="H21" s="117"/>
      <c r="I21" s="117"/>
      <c r="J21" s="125"/>
    </row>
    <row r="22" spans="1:10" ht="21.75" customHeight="1">
      <c r="A22" s="119"/>
      <c r="B22" s="120" t="e">
        <f>#REF!</f>
        <v>#REF!</v>
      </c>
      <c r="C22" s="121">
        <v>18</v>
      </c>
      <c r="D22" s="122" t="e">
        <f t="shared" si="0"/>
        <v>#REF!</v>
      </c>
      <c r="E22" s="122" t="e">
        <f t="shared" si="1"/>
        <v>#REF!</v>
      </c>
      <c r="F22" s="121" t="e">
        <f t="shared" si="2"/>
        <v>#REF!</v>
      </c>
      <c r="G22" s="123" t="e">
        <f t="shared" si="3"/>
        <v>#REF!</v>
      </c>
      <c r="H22" s="117"/>
      <c r="I22" s="117"/>
      <c r="J22" s="125"/>
    </row>
    <row r="23" spans="1:10" ht="21.75" customHeight="1">
      <c r="A23" s="119"/>
      <c r="B23" s="120" t="e">
        <f>#REF!</f>
        <v>#REF!</v>
      </c>
      <c r="C23" s="121">
        <v>18</v>
      </c>
      <c r="D23" s="122" t="e">
        <f t="shared" si="0"/>
        <v>#REF!</v>
      </c>
      <c r="E23" s="122" t="e">
        <f t="shared" si="1"/>
        <v>#REF!</v>
      </c>
      <c r="F23" s="121" t="e">
        <f t="shared" si="2"/>
        <v>#REF!</v>
      </c>
      <c r="G23" s="123" t="e">
        <f t="shared" si="3"/>
        <v>#REF!</v>
      </c>
      <c r="H23" s="117"/>
      <c r="I23" s="117"/>
      <c r="J23" s="125"/>
    </row>
    <row r="24" spans="1:10" ht="21.75" customHeight="1">
      <c r="A24" s="119"/>
      <c r="B24" s="120" t="e">
        <f>#REF!</f>
        <v>#REF!</v>
      </c>
      <c r="C24" s="121">
        <v>20</v>
      </c>
      <c r="D24" s="122" t="e">
        <f t="shared" si="0"/>
        <v>#REF!</v>
      </c>
      <c r="E24" s="122" t="e">
        <f t="shared" si="1"/>
        <v>#REF!</v>
      </c>
      <c r="F24" s="121" t="e">
        <f t="shared" si="2"/>
        <v>#REF!</v>
      </c>
      <c r="G24" s="123" t="e">
        <f t="shared" si="3"/>
        <v>#REF!</v>
      </c>
      <c r="H24" s="117"/>
      <c r="I24" s="117"/>
      <c r="J24" s="125"/>
    </row>
    <row r="25" spans="1:10" ht="21.75" customHeight="1">
      <c r="A25" s="119"/>
      <c r="B25" s="120" t="e">
        <f>#REF!</f>
        <v>#REF!</v>
      </c>
      <c r="C25" s="121">
        <v>20</v>
      </c>
      <c r="D25" s="122" t="e">
        <f t="shared" si="0"/>
        <v>#REF!</v>
      </c>
      <c r="E25" s="122" t="e">
        <f t="shared" si="1"/>
        <v>#REF!</v>
      </c>
      <c r="F25" s="121" t="e">
        <f t="shared" si="2"/>
        <v>#REF!</v>
      </c>
      <c r="G25" s="123" t="e">
        <f t="shared" si="3"/>
        <v>#REF!</v>
      </c>
      <c r="H25" s="117"/>
      <c r="I25" s="117"/>
      <c r="J25" s="125"/>
    </row>
    <row r="26" spans="1:10" ht="21.75" customHeight="1">
      <c r="A26" s="119"/>
      <c r="B26" s="120" t="e">
        <f>#REF!</f>
        <v>#REF!</v>
      </c>
      <c r="C26" s="121">
        <v>20</v>
      </c>
      <c r="D26" s="122" t="e">
        <f t="shared" si="0"/>
        <v>#REF!</v>
      </c>
      <c r="E26" s="122" t="e">
        <f t="shared" si="1"/>
        <v>#REF!</v>
      </c>
      <c r="F26" s="121" t="e">
        <f t="shared" si="2"/>
        <v>#REF!</v>
      </c>
      <c r="G26" s="123" t="e">
        <f t="shared" si="3"/>
        <v>#REF!</v>
      </c>
      <c r="H26" s="117"/>
      <c r="I26" s="117"/>
      <c r="J26" s="125"/>
    </row>
    <row r="27" spans="1:10" ht="21.75" customHeight="1">
      <c r="A27" s="119"/>
      <c r="B27" s="120" t="e">
        <f>#REF!</f>
        <v>#REF!</v>
      </c>
      <c r="C27" s="121">
        <v>20</v>
      </c>
      <c r="D27" s="122" t="e">
        <f t="shared" si="0"/>
        <v>#REF!</v>
      </c>
      <c r="E27" s="122" t="e">
        <f t="shared" si="1"/>
        <v>#REF!</v>
      </c>
      <c r="F27" s="121" t="e">
        <f t="shared" si="2"/>
        <v>#REF!</v>
      </c>
      <c r="G27" s="123" t="e">
        <f t="shared" si="3"/>
        <v>#REF!</v>
      </c>
      <c r="H27" s="117"/>
      <c r="I27" s="117"/>
      <c r="J27" s="125"/>
    </row>
    <row r="28" spans="1:10" ht="21.75" customHeight="1">
      <c r="A28" s="119"/>
      <c r="B28" s="120" t="e">
        <f>#REF!</f>
        <v>#REF!</v>
      </c>
      <c r="C28" s="121">
        <v>22</v>
      </c>
      <c r="D28" s="122" t="e">
        <f t="shared" si="0"/>
        <v>#REF!</v>
      </c>
      <c r="E28" s="122" t="e">
        <f t="shared" si="1"/>
        <v>#REF!</v>
      </c>
      <c r="F28" s="121" t="e">
        <f t="shared" si="2"/>
        <v>#REF!</v>
      </c>
      <c r="G28" s="123" t="e">
        <f t="shared" si="3"/>
        <v>#REF!</v>
      </c>
      <c r="H28" s="117"/>
      <c r="I28" s="117"/>
      <c r="J28" s="125"/>
    </row>
    <row r="29" spans="1:10" ht="21.75" customHeight="1">
      <c r="A29" s="119"/>
      <c r="B29" s="120" t="e">
        <f>#REF!</f>
        <v>#REF!</v>
      </c>
      <c r="C29" s="121">
        <v>24</v>
      </c>
      <c r="D29" s="122" t="e">
        <f t="shared" si="0"/>
        <v>#REF!</v>
      </c>
      <c r="E29" s="122" t="e">
        <f t="shared" si="1"/>
        <v>#REF!</v>
      </c>
      <c r="F29" s="121" t="e">
        <f t="shared" si="2"/>
        <v>#REF!</v>
      </c>
      <c r="G29" s="123" t="e">
        <f t="shared" si="3"/>
        <v>#REF!</v>
      </c>
      <c r="H29" s="117"/>
      <c r="I29" s="117"/>
      <c r="J29" s="125"/>
    </row>
    <row r="30" spans="1:10" ht="21.75" customHeight="1">
      <c r="A30" s="119"/>
      <c r="B30" s="120" t="e">
        <f>#REF!</f>
        <v>#REF!</v>
      </c>
      <c r="C30" s="121">
        <v>28</v>
      </c>
      <c r="D30" s="122" t="e">
        <f t="shared" si="0"/>
        <v>#REF!</v>
      </c>
      <c r="E30" s="122" t="e">
        <f t="shared" si="1"/>
        <v>#REF!</v>
      </c>
      <c r="F30" s="121" t="e">
        <f t="shared" si="2"/>
        <v>#REF!</v>
      </c>
      <c r="G30" s="123" t="e">
        <f t="shared" si="3"/>
        <v>#REF!</v>
      </c>
      <c r="H30" s="117"/>
      <c r="I30" s="117"/>
      <c r="J30" s="125"/>
    </row>
    <row r="31" spans="1:10" ht="21.75" customHeight="1">
      <c r="A31" s="119"/>
      <c r="B31" s="120" t="e">
        <f>#REF!</f>
        <v>#REF!</v>
      </c>
      <c r="C31" s="121">
        <v>30</v>
      </c>
      <c r="D31" s="122" t="e">
        <f t="shared" si="0"/>
        <v>#REF!</v>
      </c>
      <c r="E31" s="122" t="e">
        <f t="shared" si="1"/>
        <v>#REF!</v>
      </c>
      <c r="F31" s="121" t="e">
        <f t="shared" si="2"/>
        <v>#REF!</v>
      </c>
      <c r="G31" s="123" t="e">
        <f t="shared" si="3"/>
        <v>#REF!</v>
      </c>
      <c r="H31" s="117"/>
      <c r="I31" s="117"/>
      <c r="J31" s="125"/>
    </row>
    <row r="32" spans="1:10" ht="21.75" customHeight="1">
      <c r="A32" s="119"/>
      <c r="B32" s="120" t="e">
        <f>#REF!</f>
        <v>#REF!</v>
      </c>
      <c r="C32" s="121">
        <v>32</v>
      </c>
      <c r="D32" s="122" t="e">
        <f t="shared" si="0"/>
        <v>#REF!</v>
      </c>
      <c r="E32" s="122" t="e">
        <f t="shared" si="1"/>
        <v>#REF!</v>
      </c>
      <c r="F32" s="121" t="e">
        <f t="shared" si="2"/>
        <v>#REF!</v>
      </c>
      <c r="G32" s="123" t="e">
        <f t="shared" si="3"/>
        <v>#REF!</v>
      </c>
      <c r="H32" s="117"/>
      <c r="I32" s="117"/>
      <c r="J32" s="125"/>
    </row>
    <row r="33" spans="1:10" ht="21.75" customHeight="1">
      <c r="A33" s="119"/>
      <c r="B33" s="120" t="e">
        <f>#REF!</f>
        <v>#REF!</v>
      </c>
      <c r="C33" s="121">
        <v>36</v>
      </c>
      <c r="D33" s="122" t="e">
        <f t="shared" si="0"/>
        <v>#REF!</v>
      </c>
      <c r="E33" s="122" t="e">
        <f t="shared" si="1"/>
        <v>#REF!</v>
      </c>
      <c r="F33" s="121" t="e">
        <f t="shared" si="2"/>
        <v>#REF!</v>
      </c>
      <c r="G33" s="123" t="e">
        <f t="shared" si="3"/>
        <v>#REF!</v>
      </c>
      <c r="H33" s="117"/>
      <c r="I33" s="117"/>
      <c r="J33" s="125"/>
    </row>
    <row r="34" spans="1:10" ht="21.75" customHeight="1">
      <c r="A34" s="119"/>
      <c r="B34" s="120" t="e">
        <f>#REF!</f>
        <v>#REF!</v>
      </c>
      <c r="C34" s="121">
        <v>36</v>
      </c>
      <c r="D34" s="122" t="e">
        <f t="shared" si="0"/>
        <v>#REF!</v>
      </c>
      <c r="E34" s="122" t="e">
        <f t="shared" si="1"/>
        <v>#REF!</v>
      </c>
      <c r="F34" s="121" t="e">
        <f t="shared" si="2"/>
        <v>#REF!</v>
      </c>
      <c r="G34" s="123" t="e">
        <f t="shared" si="3"/>
        <v>#REF!</v>
      </c>
      <c r="H34" s="117"/>
      <c r="I34" s="117"/>
      <c r="J34" s="125"/>
    </row>
    <row r="35" spans="1:10" ht="21.75" customHeight="1">
      <c r="A35" s="128" t="s">
        <v>685</v>
      </c>
      <c r="B35" s="129" t="e">
        <f>#REF!</f>
        <v>#REF!</v>
      </c>
      <c r="C35" s="130">
        <v>40</v>
      </c>
      <c r="D35" s="131" t="e">
        <f t="shared" si="0"/>
        <v>#REF!</v>
      </c>
      <c r="E35" s="131" t="e">
        <f t="shared" si="1"/>
        <v>#REF!</v>
      </c>
      <c r="F35" s="130" t="e">
        <f t="shared" si="2"/>
        <v>#REF!</v>
      </c>
      <c r="G35" s="132" t="e">
        <f t="shared" si="3"/>
        <v>#REF!</v>
      </c>
      <c r="H35" s="133"/>
      <c r="I35" s="133"/>
      <c r="J35" s="134"/>
    </row>
    <row r="36" ht="18" customHeight="1"/>
    <row r="37" ht="18" customHeight="1"/>
    <row r="38" ht="18" customHeight="1"/>
    <row r="39" spans="1:10" ht="21.75" customHeight="1">
      <c r="A39" s="865" t="s">
        <v>760</v>
      </c>
      <c r="B39" s="865"/>
      <c r="C39" s="865"/>
      <c r="D39" s="865"/>
      <c r="E39" s="865"/>
      <c r="F39" s="865"/>
      <c r="G39" s="865"/>
      <c r="H39" s="865"/>
      <c r="I39" s="865"/>
      <c r="J39" s="865"/>
    </row>
    <row r="40" spans="1:10" ht="21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37.5">
      <c r="A41" s="866" t="s">
        <v>683</v>
      </c>
      <c r="B41" s="866"/>
      <c r="C41" s="866"/>
      <c r="D41" s="866"/>
      <c r="E41" s="866"/>
      <c r="F41" s="866"/>
      <c r="G41" s="866"/>
      <c r="H41" s="866"/>
      <c r="I41" s="866"/>
      <c r="J41" s="866"/>
    </row>
    <row r="42" spans="1:10" ht="21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</row>
    <row r="43" spans="1:10" ht="21.75">
      <c r="A43" s="99"/>
      <c r="B43" s="99" t="s">
        <v>761</v>
      </c>
      <c r="C43" s="99"/>
      <c r="D43" s="99"/>
      <c r="E43" s="99"/>
      <c r="F43" s="99">
        <v>0</v>
      </c>
      <c r="G43" s="99" t="s">
        <v>762</v>
      </c>
      <c r="H43" s="99"/>
      <c r="I43" s="99"/>
      <c r="J43" s="99"/>
    </row>
    <row r="44" spans="1:10" ht="21.75">
      <c r="A44" s="99"/>
      <c r="B44" s="99" t="s">
        <v>763</v>
      </c>
      <c r="C44" s="99"/>
      <c r="D44" s="99"/>
      <c r="E44" s="99"/>
      <c r="F44" s="99">
        <v>0</v>
      </c>
      <c r="G44" s="99" t="s">
        <v>764</v>
      </c>
      <c r="H44" s="99"/>
      <c r="I44" s="99"/>
      <c r="J44" s="99"/>
    </row>
    <row r="46" spans="1:10" ht="21.75">
      <c r="A46" s="867" t="s">
        <v>745</v>
      </c>
      <c r="B46" s="868"/>
      <c r="C46" s="867" t="s">
        <v>765</v>
      </c>
      <c r="D46" s="868"/>
      <c r="E46" s="867" t="s">
        <v>766</v>
      </c>
      <c r="F46" s="868"/>
      <c r="G46" s="867" t="s">
        <v>767</v>
      </c>
      <c r="H46" s="868"/>
      <c r="I46" s="869" t="s">
        <v>502</v>
      </c>
      <c r="J46" s="870"/>
    </row>
    <row r="47" spans="1:10" ht="21.75">
      <c r="A47" s="873" t="s">
        <v>680</v>
      </c>
      <c r="B47" s="874"/>
      <c r="C47" s="873" t="s">
        <v>678</v>
      </c>
      <c r="D47" s="874"/>
      <c r="E47" s="873" t="s">
        <v>678</v>
      </c>
      <c r="F47" s="874"/>
      <c r="G47" s="873" t="s">
        <v>678</v>
      </c>
      <c r="H47" s="874"/>
      <c r="I47" s="871"/>
      <c r="J47" s="872"/>
    </row>
    <row r="48" spans="1:10" ht="21.75" customHeight="1">
      <c r="A48" s="135" t="s">
        <v>684</v>
      </c>
      <c r="B48" s="136" t="e">
        <f>#REF!</f>
        <v>#REF!</v>
      </c>
      <c r="C48" s="861">
        <f>$F$43/4</f>
        <v>0</v>
      </c>
      <c r="D48" s="862"/>
      <c r="E48" s="861">
        <v>5.5</v>
      </c>
      <c r="F48" s="862"/>
      <c r="G48" s="863">
        <f>C48+E48</f>
        <v>5.5</v>
      </c>
      <c r="H48" s="864"/>
      <c r="I48" s="137"/>
      <c r="J48" s="138"/>
    </row>
    <row r="49" spans="1:10" ht="21.75" customHeight="1">
      <c r="A49" s="119"/>
      <c r="B49" s="139" t="e">
        <f>#REF!</f>
        <v>#REF!</v>
      </c>
      <c r="C49" s="857">
        <f aca="true" t="shared" si="4" ref="C49:C71">$F$43/4</f>
        <v>0</v>
      </c>
      <c r="D49" s="858"/>
      <c r="E49" s="857">
        <v>5.5</v>
      </c>
      <c r="F49" s="858"/>
      <c r="G49" s="859">
        <f>C49+E49</f>
        <v>5.5</v>
      </c>
      <c r="H49" s="860"/>
      <c r="I49" s="140"/>
      <c r="J49" s="141"/>
    </row>
    <row r="50" spans="1:10" ht="21.75" customHeight="1">
      <c r="A50" s="119"/>
      <c r="B50" s="139" t="e">
        <f>#REF!</f>
        <v>#REF!</v>
      </c>
      <c r="C50" s="857">
        <f t="shared" si="4"/>
        <v>0</v>
      </c>
      <c r="D50" s="858"/>
      <c r="E50" s="857">
        <v>5.5</v>
      </c>
      <c r="F50" s="858"/>
      <c r="G50" s="859">
        <f aca="true" t="shared" si="5" ref="G50:G71">C50+E50</f>
        <v>5.5</v>
      </c>
      <c r="H50" s="860"/>
      <c r="I50" s="140"/>
      <c r="J50" s="141"/>
    </row>
    <row r="51" spans="1:10" ht="21.75" customHeight="1">
      <c r="A51" s="119"/>
      <c r="B51" s="139" t="e">
        <f>#REF!</f>
        <v>#REF!</v>
      </c>
      <c r="C51" s="857">
        <f t="shared" si="4"/>
        <v>0</v>
      </c>
      <c r="D51" s="858"/>
      <c r="E51" s="857">
        <v>5.5</v>
      </c>
      <c r="F51" s="858"/>
      <c r="G51" s="859">
        <f t="shared" si="5"/>
        <v>5.5</v>
      </c>
      <c r="H51" s="860"/>
      <c r="I51" s="140"/>
      <c r="J51" s="141"/>
    </row>
    <row r="52" spans="1:10" ht="21.75" customHeight="1">
      <c r="A52" s="119"/>
      <c r="B52" s="139" t="e">
        <f>#REF!</f>
        <v>#REF!</v>
      </c>
      <c r="C52" s="857">
        <f t="shared" si="4"/>
        <v>0</v>
      </c>
      <c r="D52" s="858"/>
      <c r="E52" s="857">
        <v>5</v>
      </c>
      <c r="F52" s="858"/>
      <c r="G52" s="859">
        <f t="shared" si="5"/>
        <v>5</v>
      </c>
      <c r="H52" s="860"/>
      <c r="I52" s="140"/>
      <c r="J52" s="141"/>
    </row>
    <row r="53" spans="1:10" ht="21.75" customHeight="1">
      <c r="A53" s="119"/>
      <c r="B53" s="139" t="e">
        <f>#REF!</f>
        <v>#REF!</v>
      </c>
      <c r="C53" s="857">
        <f t="shared" si="4"/>
        <v>0</v>
      </c>
      <c r="D53" s="858"/>
      <c r="E53" s="857">
        <v>5</v>
      </c>
      <c r="F53" s="858"/>
      <c r="G53" s="859">
        <f t="shared" si="5"/>
        <v>5</v>
      </c>
      <c r="H53" s="860"/>
      <c r="I53" s="140"/>
      <c r="J53" s="141"/>
    </row>
    <row r="54" spans="1:10" ht="21.75" customHeight="1">
      <c r="A54" s="119"/>
      <c r="B54" s="139" t="e">
        <f>#REF!</f>
        <v>#REF!</v>
      </c>
      <c r="C54" s="857">
        <f t="shared" si="4"/>
        <v>0</v>
      </c>
      <c r="D54" s="858"/>
      <c r="E54" s="857">
        <v>5</v>
      </c>
      <c r="F54" s="858"/>
      <c r="G54" s="859">
        <f t="shared" si="5"/>
        <v>5</v>
      </c>
      <c r="H54" s="860"/>
      <c r="I54" s="140"/>
      <c r="J54" s="141"/>
    </row>
    <row r="55" spans="1:10" ht="21.75" customHeight="1">
      <c r="A55" s="119"/>
      <c r="B55" s="139" t="e">
        <f>#REF!</f>
        <v>#REF!</v>
      </c>
      <c r="C55" s="857">
        <f t="shared" si="4"/>
        <v>0</v>
      </c>
      <c r="D55" s="858"/>
      <c r="E55" s="857">
        <v>4.5</v>
      </c>
      <c r="F55" s="858"/>
      <c r="G55" s="859">
        <f t="shared" si="5"/>
        <v>4.5</v>
      </c>
      <c r="H55" s="860"/>
      <c r="I55" s="140"/>
      <c r="J55" s="141"/>
    </row>
    <row r="56" spans="1:10" ht="21.75" customHeight="1">
      <c r="A56" s="119"/>
      <c r="B56" s="139" t="e">
        <f>#REF!</f>
        <v>#REF!</v>
      </c>
      <c r="C56" s="857">
        <f t="shared" si="4"/>
        <v>0</v>
      </c>
      <c r="D56" s="858"/>
      <c r="E56" s="857">
        <v>4.5</v>
      </c>
      <c r="F56" s="858"/>
      <c r="G56" s="859">
        <f t="shared" si="5"/>
        <v>4.5</v>
      </c>
      <c r="H56" s="860"/>
      <c r="I56" s="140"/>
      <c r="J56" s="141"/>
    </row>
    <row r="57" spans="1:10" ht="21.75" customHeight="1">
      <c r="A57" s="119"/>
      <c r="B57" s="139" t="e">
        <f>#REF!</f>
        <v>#REF!</v>
      </c>
      <c r="C57" s="857">
        <f t="shared" si="4"/>
        <v>0</v>
      </c>
      <c r="D57" s="858"/>
      <c r="E57" s="857">
        <v>4.5</v>
      </c>
      <c r="F57" s="858"/>
      <c r="G57" s="859">
        <f t="shared" si="5"/>
        <v>4.5</v>
      </c>
      <c r="H57" s="860"/>
      <c r="I57" s="140"/>
      <c r="J57" s="141"/>
    </row>
    <row r="58" spans="1:10" ht="21.75" customHeight="1">
      <c r="A58" s="119"/>
      <c r="B58" s="139" t="e">
        <f>#REF!</f>
        <v>#REF!</v>
      </c>
      <c r="C58" s="857">
        <f t="shared" si="4"/>
        <v>0</v>
      </c>
      <c r="D58" s="858"/>
      <c r="E58" s="857">
        <v>4.5</v>
      </c>
      <c r="F58" s="858"/>
      <c r="G58" s="859">
        <f t="shared" si="5"/>
        <v>4.5</v>
      </c>
      <c r="H58" s="860"/>
      <c r="I58" s="140"/>
      <c r="J58" s="141"/>
    </row>
    <row r="59" spans="1:10" ht="21.75" customHeight="1">
      <c r="A59" s="119"/>
      <c r="B59" s="139" t="e">
        <f>#REF!</f>
        <v>#REF!</v>
      </c>
      <c r="C59" s="857">
        <f t="shared" si="4"/>
        <v>0</v>
      </c>
      <c r="D59" s="858"/>
      <c r="E59" s="857">
        <v>4</v>
      </c>
      <c r="F59" s="858"/>
      <c r="G59" s="859">
        <f t="shared" si="5"/>
        <v>4</v>
      </c>
      <c r="H59" s="860"/>
      <c r="I59" s="140"/>
      <c r="J59" s="141"/>
    </row>
    <row r="60" spans="1:10" ht="21.75" customHeight="1">
      <c r="A60" s="119"/>
      <c r="B60" s="139" t="e">
        <f>#REF!</f>
        <v>#REF!</v>
      </c>
      <c r="C60" s="857">
        <f t="shared" si="4"/>
        <v>0</v>
      </c>
      <c r="D60" s="858"/>
      <c r="E60" s="857">
        <v>4</v>
      </c>
      <c r="F60" s="858"/>
      <c r="G60" s="859">
        <f t="shared" si="5"/>
        <v>4</v>
      </c>
      <c r="H60" s="860"/>
      <c r="I60" s="140"/>
      <c r="J60" s="141"/>
    </row>
    <row r="61" spans="1:10" ht="21.75" customHeight="1">
      <c r="A61" s="119"/>
      <c r="B61" s="139" t="e">
        <f>#REF!</f>
        <v>#REF!</v>
      </c>
      <c r="C61" s="857">
        <f t="shared" si="4"/>
        <v>0</v>
      </c>
      <c r="D61" s="858"/>
      <c r="E61" s="857">
        <v>4</v>
      </c>
      <c r="F61" s="858"/>
      <c r="G61" s="859">
        <f t="shared" si="5"/>
        <v>4</v>
      </c>
      <c r="H61" s="860"/>
      <c r="I61" s="140"/>
      <c r="J61" s="141"/>
    </row>
    <row r="62" spans="1:10" ht="21.75" customHeight="1">
      <c r="A62" s="119"/>
      <c r="B62" s="139" t="e">
        <f>#REF!</f>
        <v>#REF!</v>
      </c>
      <c r="C62" s="857">
        <f t="shared" si="4"/>
        <v>0</v>
      </c>
      <c r="D62" s="858"/>
      <c r="E62" s="857">
        <v>4</v>
      </c>
      <c r="F62" s="858"/>
      <c r="G62" s="859">
        <f t="shared" si="5"/>
        <v>4</v>
      </c>
      <c r="H62" s="860"/>
      <c r="I62" s="140"/>
      <c r="J62" s="141"/>
    </row>
    <row r="63" spans="1:10" ht="21.75" customHeight="1">
      <c r="A63" s="119"/>
      <c r="B63" s="139" t="e">
        <f>#REF!</f>
        <v>#REF!</v>
      </c>
      <c r="C63" s="857">
        <f t="shared" si="4"/>
        <v>0</v>
      </c>
      <c r="D63" s="858"/>
      <c r="E63" s="857">
        <v>4</v>
      </c>
      <c r="F63" s="858"/>
      <c r="G63" s="859">
        <f t="shared" si="5"/>
        <v>4</v>
      </c>
      <c r="H63" s="860"/>
      <c r="I63" s="140"/>
      <c r="J63" s="141"/>
    </row>
    <row r="64" spans="1:10" ht="21.75" customHeight="1">
      <c r="A64" s="119"/>
      <c r="B64" s="139" t="e">
        <f>#REF!</f>
        <v>#REF!</v>
      </c>
      <c r="C64" s="857">
        <f t="shared" si="4"/>
        <v>0</v>
      </c>
      <c r="D64" s="858"/>
      <c r="E64" s="857">
        <v>4</v>
      </c>
      <c r="F64" s="858"/>
      <c r="G64" s="859">
        <f t="shared" si="5"/>
        <v>4</v>
      </c>
      <c r="H64" s="860"/>
      <c r="I64" s="140"/>
      <c r="J64" s="141"/>
    </row>
    <row r="65" spans="1:10" ht="21.75" customHeight="1">
      <c r="A65" s="119"/>
      <c r="B65" s="139" t="e">
        <f>#REF!</f>
        <v>#REF!</v>
      </c>
      <c r="C65" s="857">
        <f t="shared" si="4"/>
        <v>0</v>
      </c>
      <c r="D65" s="858"/>
      <c r="E65" s="857">
        <v>4</v>
      </c>
      <c r="F65" s="858"/>
      <c r="G65" s="859">
        <f t="shared" si="5"/>
        <v>4</v>
      </c>
      <c r="H65" s="860"/>
      <c r="I65" s="140"/>
      <c r="J65" s="141"/>
    </row>
    <row r="66" spans="1:10" ht="21.75" customHeight="1">
      <c r="A66" s="119"/>
      <c r="B66" s="139" t="e">
        <f>#REF!</f>
        <v>#REF!</v>
      </c>
      <c r="C66" s="857">
        <f t="shared" si="4"/>
        <v>0</v>
      </c>
      <c r="D66" s="858"/>
      <c r="E66" s="857">
        <v>4</v>
      </c>
      <c r="F66" s="858"/>
      <c r="G66" s="859">
        <f t="shared" si="5"/>
        <v>4</v>
      </c>
      <c r="H66" s="860"/>
      <c r="I66" s="140"/>
      <c r="J66" s="141"/>
    </row>
    <row r="67" spans="1:10" ht="21.75" customHeight="1">
      <c r="A67" s="119"/>
      <c r="B67" s="139" t="e">
        <f>#REF!</f>
        <v>#REF!</v>
      </c>
      <c r="C67" s="857">
        <f t="shared" si="4"/>
        <v>0</v>
      </c>
      <c r="D67" s="858"/>
      <c r="E67" s="857">
        <v>3.5</v>
      </c>
      <c r="F67" s="858"/>
      <c r="G67" s="859">
        <f t="shared" si="5"/>
        <v>3.5</v>
      </c>
      <c r="H67" s="860"/>
      <c r="I67" s="140"/>
      <c r="J67" s="141"/>
    </row>
    <row r="68" spans="1:10" ht="21.75" customHeight="1">
      <c r="A68" s="119"/>
      <c r="B68" s="139" t="e">
        <f>#REF!</f>
        <v>#REF!</v>
      </c>
      <c r="C68" s="857">
        <f t="shared" si="4"/>
        <v>0</v>
      </c>
      <c r="D68" s="858"/>
      <c r="E68" s="857">
        <v>3.5</v>
      </c>
      <c r="F68" s="858"/>
      <c r="G68" s="859">
        <f t="shared" si="5"/>
        <v>3.5</v>
      </c>
      <c r="H68" s="860"/>
      <c r="I68" s="140"/>
      <c r="J68" s="141"/>
    </row>
    <row r="69" spans="1:10" ht="21.75" customHeight="1">
      <c r="A69" s="119"/>
      <c r="B69" s="139" t="e">
        <f>#REF!</f>
        <v>#REF!</v>
      </c>
      <c r="C69" s="857">
        <f t="shared" si="4"/>
        <v>0</v>
      </c>
      <c r="D69" s="858"/>
      <c r="E69" s="857">
        <v>3.5</v>
      </c>
      <c r="F69" s="858"/>
      <c r="G69" s="859">
        <f t="shared" si="5"/>
        <v>3.5</v>
      </c>
      <c r="H69" s="860"/>
      <c r="I69" s="140"/>
      <c r="J69" s="141"/>
    </row>
    <row r="70" spans="1:10" ht="21.75" customHeight="1">
      <c r="A70" s="119"/>
      <c r="B70" s="139" t="e">
        <f>#REF!</f>
        <v>#REF!</v>
      </c>
      <c r="C70" s="857">
        <f t="shared" si="4"/>
        <v>0</v>
      </c>
      <c r="D70" s="858"/>
      <c r="E70" s="857">
        <v>3.5</v>
      </c>
      <c r="F70" s="858"/>
      <c r="G70" s="859">
        <f t="shared" si="5"/>
        <v>3.5</v>
      </c>
      <c r="H70" s="860"/>
      <c r="I70" s="140"/>
      <c r="J70" s="141"/>
    </row>
    <row r="71" spans="1:10" ht="21.75" customHeight="1">
      <c r="A71" s="128" t="s">
        <v>685</v>
      </c>
      <c r="B71" s="142" t="e">
        <f>#REF!</f>
        <v>#REF!</v>
      </c>
      <c r="C71" s="853">
        <f t="shared" si="4"/>
        <v>0</v>
      </c>
      <c r="D71" s="854"/>
      <c r="E71" s="853">
        <v>3.5</v>
      </c>
      <c r="F71" s="854"/>
      <c r="G71" s="855">
        <f t="shared" si="5"/>
        <v>3.5</v>
      </c>
      <c r="H71" s="856"/>
      <c r="I71" s="143"/>
      <c r="J71" s="144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>
      <c r="B84" s="56"/>
    </row>
    <row r="85" ht="21.75">
      <c r="B85" s="56"/>
    </row>
    <row r="86" ht="21.75">
      <c r="B86" s="56"/>
    </row>
    <row r="87" ht="21.75">
      <c r="B87" s="56"/>
    </row>
    <row r="88" ht="21.75">
      <c r="B88" s="56"/>
    </row>
    <row r="89" ht="21.75">
      <c r="B89" s="56"/>
    </row>
    <row r="90" ht="21.75">
      <c r="B90" s="56"/>
    </row>
    <row r="91" ht="21.75">
      <c r="B91" s="56"/>
    </row>
    <row r="92" ht="21.75">
      <c r="B92" s="56"/>
    </row>
    <row r="93" ht="21.75">
      <c r="B93" s="56"/>
    </row>
    <row r="94" ht="21.75">
      <c r="B94" s="56"/>
    </row>
    <row r="95" ht="21.75">
      <c r="B95" s="56"/>
    </row>
    <row r="96" ht="21.75">
      <c r="B96" s="56"/>
    </row>
    <row r="97" ht="21.75">
      <c r="B97" s="56"/>
    </row>
  </sheetData>
  <sheetProtection/>
  <mergeCells count="88">
    <mergeCell ref="A47:B47"/>
    <mergeCell ref="C47:D47"/>
    <mergeCell ref="E47:F47"/>
    <mergeCell ref="G47:H47"/>
    <mergeCell ref="A1:J1"/>
    <mergeCell ref="A3:J3"/>
    <mergeCell ref="A9:B9"/>
    <mergeCell ref="H9:J11"/>
    <mergeCell ref="A11:B11"/>
    <mergeCell ref="C48:D48"/>
    <mergeCell ref="E48:F48"/>
    <mergeCell ref="G48:H48"/>
    <mergeCell ref="A39:J39"/>
    <mergeCell ref="A41:J41"/>
    <mergeCell ref="A46:B46"/>
    <mergeCell ref="C46:D46"/>
    <mergeCell ref="E46:F46"/>
    <mergeCell ref="G46:H46"/>
    <mergeCell ref="I46:J47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C68:D68"/>
    <mergeCell ref="E68:F68"/>
    <mergeCell ref="G68:H68"/>
    <mergeCell ref="C71:D71"/>
    <mergeCell ref="E71:F71"/>
    <mergeCell ref="G71:H71"/>
    <mergeCell ref="C69:D69"/>
    <mergeCell ref="E69:F69"/>
    <mergeCell ref="G69:H69"/>
    <mergeCell ref="C70:D70"/>
    <mergeCell ref="E70:F70"/>
    <mergeCell ref="G70:H70"/>
  </mergeCells>
  <printOptions horizontalCentered="1"/>
  <pageMargins left="0.5511811023622047" right="0.1968503937007874" top="0.5118110236220472" bottom="0.35433070866141736" header="0.196850393700787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R44"/>
  <sheetViews>
    <sheetView showGridLines="0" view="pageBreakPreview" zoomScaleNormal="150" zoomScaleSheetLayoutView="100" zoomScalePageLayoutView="0" workbookViewId="0" topLeftCell="A1">
      <selection activeCell="A1" sqref="A1:V29"/>
    </sheetView>
  </sheetViews>
  <sheetFormatPr defaultColWidth="9.140625" defaultRowHeight="21.75"/>
  <cols>
    <col min="1" max="10" width="9.140625" style="146" customWidth="1"/>
    <col min="11" max="11" width="9.57421875" style="146" customWidth="1"/>
    <col min="12" max="14" width="9.140625" style="146" customWidth="1"/>
    <col min="15" max="15" width="9.7109375" style="146" customWidth="1"/>
    <col min="16" max="16" width="7.57421875" style="146" customWidth="1"/>
    <col min="17" max="17" width="9.140625" style="146" customWidth="1"/>
    <col min="18" max="18" width="9.7109375" style="146" customWidth="1"/>
    <col min="19" max="16384" width="9.140625" style="146" customWidth="1"/>
  </cols>
  <sheetData>
    <row r="1" spans="1:10" ht="21.75" customHeight="1">
      <c r="A1" s="60"/>
      <c r="B1" s="889" t="s">
        <v>768</v>
      </c>
      <c r="C1" s="889"/>
      <c r="D1" s="889"/>
      <c r="E1" s="889"/>
      <c r="F1" s="889"/>
      <c r="G1" s="889"/>
      <c r="H1" s="889"/>
      <c r="I1" s="889"/>
      <c r="J1" s="60"/>
    </row>
    <row r="2" spans="1:10" ht="21.7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1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2:18" ht="21.7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49"/>
      <c r="R4" s="149"/>
    </row>
    <row r="5" spans="1:16" ht="37.5">
      <c r="A5" s="866" t="s">
        <v>769</v>
      </c>
      <c r="B5" s="866"/>
      <c r="C5" s="866"/>
      <c r="D5" s="866"/>
      <c r="E5" s="866"/>
      <c r="F5" s="866"/>
      <c r="G5" s="866"/>
      <c r="H5" s="866"/>
      <c r="I5" s="866"/>
      <c r="J5" s="866"/>
      <c r="K5" s="147"/>
      <c r="P5" s="148"/>
    </row>
    <row r="6" spans="1:16" ht="37.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47"/>
      <c r="P6" s="148"/>
    </row>
    <row r="7" spans="1:16" s="151" customFormat="1" ht="21.75">
      <c r="A7" s="146"/>
      <c r="P7" s="152"/>
    </row>
    <row r="8" spans="1:16" s="151" customFormat="1" ht="21.75">
      <c r="A8" s="151" t="s">
        <v>562</v>
      </c>
      <c r="B8" s="153" t="s">
        <v>770</v>
      </c>
      <c r="P8" s="152"/>
    </row>
    <row r="9" spans="1:16" s="151" customFormat="1" ht="21.75">
      <c r="A9" s="151" t="s">
        <v>562</v>
      </c>
      <c r="B9" s="151" t="s">
        <v>771</v>
      </c>
      <c r="P9" s="152"/>
    </row>
    <row r="10" spans="2:16" s="151" customFormat="1" ht="21.75">
      <c r="B10" s="151" t="s">
        <v>772</v>
      </c>
      <c r="P10" s="152"/>
    </row>
    <row r="11" s="151" customFormat="1" ht="21.75">
      <c r="P11" s="152"/>
    </row>
    <row r="12" s="151" customFormat="1" ht="21.75">
      <c r="P12" s="152"/>
    </row>
    <row r="13" spans="1:17" s="151" customFormat="1" ht="21.75">
      <c r="A13" s="151" t="s">
        <v>562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="151" customFormat="1" ht="21.75"/>
    <row r="15" s="151" customFormat="1" ht="21.75"/>
    <row r="16" s="151" customFormat="1" ht="21.75"/>
    <row r="17" s="151" customFormat="1" ht="21.75"/>
    <row r="18" s="151" customFormat="1" ht="21.75"/>
    <row r="19" s="151" customFormat="1" ht="21.75"/>
    <row r="20" s="151" customFormat="1" ht="21.75"/>
    <row r="21" s="151" customFormat="1" ht="21.75"/>
    <row r="22" spans="2:18" s="151" customFormat="1" ht="21.75" customHeight="1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="151" customFormat="1" ht="21.75"/>
    <row r="24" s="151" customFormat="1" ht="21.75"/>
    <row r="42" spans="1:10" ht="51.75">
      <c r="A42" s="155"/>
      <c r="B42" s="155"/>
      <c r="C42" s="155"/>
      <c r="D42" s="155"/>
      <c r="E42" s="155"/>
      <c r="F42" s="155"/>
      <c r="G42" s="155"/>
      <c r="H42" s="155"/>
      <c r="I42" s="155"/>
      <c r="J42" s="155"/>
    </row>
    <row r="44" spans="2:10" ht="21.75" customHeight="1">
      <c r="B44" s="156"/>
      <c r="C44" s="156"/>
      <c r="D44" s="156"/>
      <c r="E44" s="156"/>
      <c r="F44" s="156"/>
      <c r="G44" s="156"/>
      <c r="H44" s="156"/>
      <c r="I44" s="156"/>
      <c r="J44" s="156"/>
    </row>
  </sheetData>
  <sheetProtection/>
  <mergeCells count="2">
    <mergeCell ref="B1:I1"/>
    <mergeCell ref="A5:J5"/>
  </mergeCells>
  <printOptions/>
  <pageMargins left="0.984251968503937" right="0.31496062992125984" top="0.7874015748031497" bottom="0.3937007874015748" header="0.11811023622047245" footer="0.1181102362204724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5"/>
  <sheetViews>
    <sheetView view="pageBreakPreview" zoomScale="80" zoomScaleSheetLayoutView="80" zoomScalePageLayoutView="0" workbookViewId="0" topLeftCell="A1">
      <selection activeCell="G23" sqref="G23"/>
    </sheetView>
  </sheetViews>
  <sheetFormatPr defaultColWidth="9.00390625" defaultRowHeight="21.75"/>
  <cols>
    <col min="1" max="1" width="7.7109375" style="431" customWidth="1"/>
    <col min="2" max="2" width="7.140625" style="431" customWidth="1"/>
    <col min="3" max="3" width="19.00390625" style="431" customWidth="1"/>
    <col min="4" max="4" width="8.421875" style="431" customWidth="1"/>
    <col min="5" max="5" width="28.140625" style="431" customWidth="1"/>
    <col min="6" max="6" width="3.8515625" style="431" customWidth="1"/>
    <col min="7" max="8" width="11.28125" style="431" customWidth="1"/>
    <col min="9" max="10" width="5.28125" style="431" customWidth="1"/>
    <col min="11" max="11" width="5.7109375" style="431" customWidth="1"/>
    <col min="12" max="12" width="17.421875" style="431" customWidth="1"/>
    <col min="13" max="18" width="9.140625" style="431" customWidth="1"/>
    <col min="19" max="16384" width="9.00390625" style="431" customWidth="1"/>
  </cols>
  <sheetData>
    <row r="1" spans="1:17" ht="24">
      <c r="A1" s="533"/>
      <c r="B1" s="533"/>
      <c r="C1" s="533"/>
      <c r="D1" s="533"/>
      <c r="E1" s="533"/>
      <c r="F1" s="533"/>
      <c r="G1" s="533"/>
      <c r="H1" s="535" t="s">
        <v>861</v>
      </c>
      <c r="I1" s="533"/>
      <c r="J1" s="533"/>
      <c r="K1" s="533"/>
      <c r="L1" s="561"/>
      <c r="M1" s="533"/>
      <c r="N1" s="533"/>
      <c r="O1" s="533"/>
      <c r="P1" s="533"/>
      <c r="Q1" s="533"/>
    </row>
    <row r="2" spans="1:17" ht="24">
      <c r="A2" s="910" t="s">
        <v>862</v>
      </c>
      <c r="B2" s="910"/>
      <c r="C2" s="910"/>
      <c r="D2" s="910"/>
      <c r="E2" s="910"/>
      <c r="F2" s="910"/>
      <c r="G2" s="910"/>
      <c r="H2" s="910"/>
      <c r="I2" s="910"/>
      <c r="J2" s="910"/>
      <c r="K2" s="533"/>
      <c r="L2" s="561"/>
      <c r="M2" s="533"/>
      <c r="N2" s="533"/>
      <c r="O2" s="533"/>
      <c r="P2" s="533"/>
      <c r="Q2" s="533"/>
    </row>
    <row r="3" spans="1:17" ht="24">
      <c r="A3" s="547" t="s">
        <v>863</v>
      </c>
      <c r="B3" s="548"/>
      <c r="C3" s="548"/>
      <c r="D3" s="548"/>
      <c r="E3" s="548" t="str">
        <f>'ปร.5'!B13</f>
        <v>โครงการปรับปรุงอาคาร 19</v>
      </c>
      <c r="F3" s="548"/>
      <c r="G3" s="548"/>
      <c r="H3" s="548"/>
      <c r="I3" s="548"/>
      <c r="J3" s="548"/>
      <c r="K3" s="533"/>
      <c r="L3" s="561"/>
      <c r="M3" s="533"/>
      <c r="N3" s="533"/>
      <c r="O3" s="533"/>
      <c r="P3" s="533"/>
      <c r="Q3" s="533"/>
    </row>
    <row r="4" spans="1:17" ht="24">
      <c r="A4" s="545" t="s">
        <v>864</v>
      </c>
      <c r="B4" s="542"/>
      <c r="C4" s="542"/>
      <c r="D4" s="542"/>
      <c r="E4" s="542" t="s">
        <v>865</v>
      </c>
      <c r="F4" s="542"/>
      <c r="G4" s="542"/>
      <c r="H4" s="542"/>
      <c r="I4" s="542"/>
      <c r="J4" s="542"/>
      <c r="K4" s="533"/>
      <c r="L4" s="561"/>
      <c r="M4" s="533"/>
      <c r="N4" s="533"/>
      <c r="O4" s="533"/>
      <c r="P4" s="533"/>
      <c r="Q4" s="533"/>
    </row>
    <row r="5" spans="1:17" ht="24">
      <c r="A5" s="545" t="s">
        <v>56</v>
      </c>
      <c r="B5" s="542"/>
      <c r="C5" s="542"/>
      <c r="D5" s="542"/>
      <c r="E5" s="559" t="s">
        <v>873</v>
      </c>
      <c r="F5" s="542"/>
      <c r="G5" s="542"/>
      <c r="H5" s="542"/>
      <c r="I5" s="542"/>
      <c r="J5" s="542"/>
      <c r="K5" s="533"/>
      <c r="L5" s="561"/>
      <c r="M5" s="533"/>
      <c r="N5" s="533"/>
      <c r="O5" s="533"/>
      <c r="P5" s="533"/>
      <c r="Q5" s="533"/>
    </row>
    <row r="6" spans="1:17" ht="24">
      <c r="A6" s="545" t="s">
        <v>866</v>
      </c>
      <c r="B6" s="542"/>
      <c r="C6" s="542"/>
      <c r="D6" s="542"/>
      <c r="E6" s="542" t="s">
        <v>865</v>
      </c>
      <c r="F6" s="542"/>
      <c r="G6" s="542"/>
      <c r="H6" s="542"/>
      <c r="I6" s="542"/>
      <c r="J6" s="542"/>
      <c r="K6" s="533"/>
      <c r="L6" s="561"/>
      <c r="M6" s="533"/>
      <c r="N6" s="533"/>
      <c r="O6" s="533"/>
      <c r="P6" s="533"/>
      <c r="Q6" s="533"/>
    </row>
    <row r="7" spans="1:17" ht="24">
      <c r="A7" s="545" t="s">
        <v>867</v>
      </c>
      <c r="B7" s="542"/>
      <c r="C7" s="542"/>
      <c r="D7" s="542"/>
      <c r="E7" s="549">
        <v>1</v>
      </c>
      <c r="F7" s="542" t="s">
        <v>868</v>
      </c>
      <c r="G7" s="542"/>
      <c r="H7" s="542"/>
      <c r="I7" s="542"/>
      <c r="J7" s="542"/>
      <c r="K7" s="533"/>
      <c r="L7" s="561"/>
      <c r="M7" s="533"/>
      <c r="N7" s="533"/>
      <c r="O7" s="533"/>
      <c r="P7" s="533"/>
      <c r="Q7" s="533"/>
    </row>
    <row r="8" spans="1:17" ht="24">
      <c r="A8" s="545" t="s">
        <v>869</v>
      </c>
      <c r="B8" s="542"/>
      <c r="C8" s="542"/>
      <c r="D8" s="550"/>
      <c r="E8" s="556">
        <f>'ปร.5'!F9</f>
        <v>0</v>
      </c>
      <c r="F8" s="556"/>
      <c r="G8" s="556"/>
      <c r="H8" s="558"/>
      <c r="I8" s="556"/>
      <c r="J8" s="542"/>
      <c r="K8" s="533"/>
      <c r="L8" s="561"/>
      <c r="M8" s="533"/>
      <c r="N8" s="533"/>
      <c r="O8" s="533"/>
      <c r="P8" s="533"/>
      <c r="Q8" s="533"/>
    </row>
    <row r="9" spans="1:17" ht="24.75" thickBot="1">
      <c r="A9" s="533"/>
      <c r="B9" s="533"/>
      <c r="C9" s="533"/>
      <c r="D9" s="533"/>
      <c r="E9" s="533"/>
      <c r="F9" s="533"/>
      <c r="G9" s="533"/>
      <c r="H9" s="533"/>
      <c r="I9" s="533"/>
      <c r="J9" s="536" t="s">
        <v>870</v>
      </c>
      <c r="K9" s="533"/>
      <c r="L9" s="561"/>
      <c r="M9" s="533"/>
      <c r="N9" s="533"/>
      <c r="O9" s="533"/>
      <c r="P9" s="533"/>
      <c r="Q9" s="533"/>
    </row>
    <row r="10" spans="1:17" ht="25.5" thickBot="1" thickTop="1">
      <c r="A10" s="538" t="s">
        <v>496</v>
      </c>
      <c r="B10" s="911" t="s">
        <v>497</v>
      </c>
      <c r="C10" s="911"/>
      <c r="D10" s="911"/>
      <c r="E10" s="911"/>
      <c r="F10" s="911"/>
      <c r="G10" s="912" t="s">
        <v>871</v>
      </c>
      <c r="H10" s="913"/>
      <c r="I10" s="912" t="s">
        <v>502</v>
      </c>
      <c r="J10" s="913"/>
      <c r="K10" s="533"/>
      <c r="L10" s="561"/>
      <c r="M10" s="533"/>
      <c r="N10" s="533"/>
      <c r="O10" s="533"/>
      <c r="P10" s="533"/>
      <c r="Q10" s="533"/>
    </row>
    <row r="11" spans="1:17" ht="24.75" thickTop="1">
      <c r="A11" s="540"/>
      <c r="B11" s="914"/>
      <c r="C11" s="914"/>
      <c r="D11" s="914"/>
      <c r="E11" s="914"/>
      <c r="F11" s="914"/>
      <c r="G11" s="915"/>
      <c r="H11" s="916"/>
      <c r="I11" s="915"/>
      <c r="J11" s="916"/>
      <c r="K11" s="533"/>
      <c r="L11" s="561"/>
      <c r="M11" s="533"/>
      <c r="N11" s="533"/>
      <c r="O11" s="533"/>
      <c r="P11" s="533"/>
      <c r="Q11" s="533"/>
    </row>
    <row r="12" spans="1:17" ht="24">
      <c r="A12" s="541">
        <v>1</v>
      </c>
      <c r="B12" s="894" t="str">
        <f>'ปร.5'!B13</f>
        <v>โครงการปรับปรุงอาคาร 19</v>
      </c>
      <c r="C12" s="895"/>
      <c r="D12" s="895"/>
      <c r="E12" s="895"/>
      <c r="F12" s="896"/>
      <c r="G12" s="897"/>
      <c r="H12" s="898"/>
      <c r="I12" s="890"/>
      <c r="J12" s="891"/>
      <c r="K12" s="533"/>
      <c r="L12" s="561"/>
      <c r="M12" s="533"/>
      <c r="N12" s="533"/>
      <c r="O12" s="533"/>
      <c r="P12" s="533"/>
      <c r="Q12" s="533"/>
    </row>
    <row r="13" spans="1:17" ht="24">
      <c r="A13" s="541"/>
      <c r="B13" s="542"/>
      <c r="C13" s="542"/>
      <c r="D13" s="542"/>
      <c r="E13" s="542"/>
      <c r="F13" s="542"/>
      <c r="G13" s="890"/>
      <c r="H13" s="891"/>
      <c r="I13" s="890"/>
      <c r="J13" s="891"/>
      <c r="K13" s="533"/>
      <c r="L13" s="561"/>
      <c r="M13" s="533"/>
      <c r="N13" s="533"/>
      <c r="O13" s="533"/>
      <c r="P13" s="533"/>
      <c r="Q13" s="533"/>
    </row>
    <row r="14" spans="1:17" ht="24">
      <c r="A14" s="543"/>
      <c r="B14" s="542"/>
      <c r="C14" s="542"/>
      <c r="D14" s="542"/>
      <c r="E14" s="542"/>
      <c r="F14" s="542"/>
      <c r="G14" s="890"/>
      <c r="H14" s="891"/>
      <c r="I14" s="890"/>
      <c r="J14" s="891"/>
      <c r="K14" s="533"/>
      <c r="L14" s="561"/>
      <c r="M14" s="533"/>
      <c r="N14" s="533"/>
      <c r="O14" s="533"/>
      <c r="P14" s="533"/>
      <c r="Q14" s="533"/>
    </row>
    <row r="15" spans="1:17" ht="24">
      <c r="A15" s="543"/>
      <c r="B15" s="542"/>
      <c r="C15" s="542"/>
      <c r="D15" s="542"/>
      <c r="E15" s="542"/>
      <c r="F15" s="542"/>
      <c r="G15" s="892"/>
      <c r="H15" s="893"/>
      <c r="I15" s="890"/>
      <c r="J15" s="891"/>
      <c r="K15" s="533"/>
      <c r="L15" s="561"/>
      <c r="M15" s="533"/>
      <c r="N15" s="533"/>
      <c r="O15" s="533"/>
      <c r="P15" s="533"/>
      <c r="Q15" s="533"/>
    </row>
    <row r="16" spans="1:17" ht="25.5" thickBot="1">
      <c r="A16" s="543"/>
      <c r="B16" s="899" t="s">
        <v>872</v>
      </c>
      <c r="C16" s="900"/>
      <c r="D16" s="900"/>
      <c r="E16" s="900"/>
      <c r="F16" s="901"/>
      <c r="G16" s="902"/>
      <c r="H16" s="903"/>
      <c r="I16" s="890"/>
      <c r="J16" s="891"/>
      <c r="K16" s="533"/>
      <c r="L16" s="561"/>
      <c r="M16" s="533"/>
      <c r="N16" s="533"/>
      <c r="O16" s="533"/>
      <c r="P16" s="533"/>
      <c r="Q16" s="533"/>
    </row>
    <row r="17" spans="1:17" ht="24.75" thickTop="1">
      <c r="A17" s="543"/>
      <c r="B17" s="544" t="s">
        <v>672</v>
      </c>
      <c r="C17" s="906"/>
      <c r="D17" s="907"/>
      <c r="E17" s="907"/>
      <c r="F17" s="545" t="s">
        <v>521</v>
      </c>
      <c r="G17" s="908"/>
      <c r="H17" s="909"/>
      <c r="I17" s="890"/>
      <c r="J17" s="891"/>
      <c r="K17" s="533"/>
      <c r="L17" s="561"/>
      <c r="M17" s="533"/>
      <c r="N17" s="533"/>
      <c r="O17" s="533"/>
      <c r="P17" s="533"/>
      <c r="Q17" s="533"/>
    </row>
    <row r="18" spans="1:17" ht="24.75" thickBot="1">
      <c r="A18" s="539"/>
      <c r="B18" s="537"/>
      <c r="C18" s="537"/>
      <c r="D18" s="537"/>
      <c r="E18" s="537"/>
      <c r="F18" s="537"/>
      <c r="G18" s="917"/>
      <c r="H18" s="918"/>
      <c r="I18" s="917"/>
      <c r="J18" s="918"/>
      <c r="K18" s="533"/>
      <c r="L18" s="561"/>
      <c r="M18" s="533"/>
      <c r="N18" s="533"/>
      <c r="O18" s="533"/>
      <c r="P18" s="533"/>
      <c r="Q18" s="533"/>
    </row>
    <row r="19" spans="1:17" ht="24.75" thickTop="1">
      <c r="A19" s="533"/>
      <c r="B19" s="533"/>
      <c r="C19" s="533"/>
      <c r="D19" s="533"/>
      <c r="E19" s="533"/>
      <c r="F19" s="533"/>
      <c r="G19" s="905"/>
      <c r="H19" s="905"/>
      <c r="I19" s="905"/>
      <c r="J19" s="905"/>
      <c r="K19" s="533"/>
      <c r="L19" s="561"/>
      <c r="M19" s="533"/>
      <c r="N19" s="533"/>
      <c r="O19" s="533"/>
      <c r="P19" s="533"/>
      <c r="Q19" s="533"/>
    </row>
    <row r="20" spans="1:17" ht="24">
      <c r="A20" s="534"/>
      <c r="B20" s="533"/>
      <c r="C20" s="533"/>
      <c r="D20" s="533"/>
      <c r="E20" s="533"/>
      <c r="F20" s="533"/>
      <c r="G20" s="904"/>
      <c r="H20" s="904"/>
      <c r="I20" s="905"/>
      <c r="J20" s="905"/>
      <c r="K20" s="533"/>
      <c r="L20" s="561"/>
      <c r="M20" s="533"/>
      <c r="N20" s="533"/>
      <c r="O20" s="533"/>
      <c r="P20" s="533"/>
      <c r="Q20" s="533"/>
    </row>
    <row r="21" spans="1:17" ht="10.5" customHeight="1">
      <c r="A21" s="533"/>
      <c r="B21" s="533"/>
      <c r="C21" s="533"/>
      <c r="D21" s="533"/>
      <c r="E21" s="533"/>
      <c r="F21" s="533"/>
      <c r="G21" s="905"/>
      <c r="H21" s="905"/>
      <c r="I21" s="905"/>
      <c r="J21" s="905"/>
      <c r="K21" s="533"/>
      <c r="L21" s="561"/>
      <c r="M21" s="533"/>
      <c r="N21" s="533"/>
      <c r="O21" s="533"/>
      <c r="P21" s="533"/>
      <c r="Q21" s="533"/>
    </row>
    <row r="22" spans="1:17" ht="41.25" customHeight="1">
      <c r="A22" s="551"/>
      <c r="B22" s="552"/>
      <c r="C22" s="552"/>
      <c r="D22" s="555"/>
      <c r="E22" s="919"/>
      <c r="F22" s="552"/>
      <c r="G22" s="532"/>
      <c r="H22" s="554"/>
      <c r="I22" s="552"/>
      <c r="J22" s="533"/>
      <c r="K22" s="533"/>
      <c r="L22" s="561"/>
      <c r="M22" s="533"/>
      <c r="N22" s="533"/>
      <c r="O22" s="533"/>
      <c r="P22" s="533"/>
      <c r="Q22" s="533"/>
    </row>
    <row r="23" spans="1:17" ht="41.25" customHeight="1">
      <c r="A23" s="551"/>
      <c r="B23" s="552"/>
      <c r="C23" s="552"/>
      <c r="E23" s="555"/>
      <c r="F23" s="552"/>
      <c r="G23" s="532"/>
      <c r="H23" s="554"/>
      <c r="I23" s="552"/>
      <c r="J23" s="533"/>
      <c r="K23" s="533"/>
      <c r="L23" s="561"/>
      <c r="M23" s="533"/>
      <c r="N23" s="533"/>
      <c r="O23" s="533"/>
      <c r="P23" s="533"/>
      <c r="Q23" s="533"/>
    </row>
    <row r="24" spans="1:17" ht="41.25" customHeight="1">
      <c r="A24" s="551"/>
      <c r="B24" s="552"/>
      <c r="C24" s="552"/>
      <c r="D24" s="560"/>
      <c r="E24" s="553"/>
      <c r="F24" s="552"/>
      <c r="G24" s="532"/>
      <c r="H24" s="554"/>
      <c r="I24" s="552"/>
      <c r="J24" s="533"/>
      <c r="K24" s="533"/>
      <c r="L24" s="561"/>
      <c r="M24" s="533"/>
      <c r="N24" s="533"/>
      <c r="O24" s="533"/>
      <c r="P24" s="533"/>
      <c r="Q24" s="533"/>
    </row>
    <row r="25" spans="1:17" ht="24">
      <c r="A25" s="552"/>
      <c r="B25" s="552"/>
      <c r="C25" s="552"/>
      <c r="D25" s="552"/>
      <c r="E25" s="552"/>
      <c r="F25" s="552"/>
      <c r="G25" s="532"/>
      <c r="H25" s="554"/>
      <c r="I25" s="552"/>
      <c r="J25" s="533"/>
      <c r="K25" s="533"/>
      <c r="L25" s="561"/>
      <c r="M25" s="533"/>
      <c r="N25" s="533"/>
      <c r="O25" s="533"/>
      <c r="P25" s="533"/>
      <c r="Q25" s="533"/>
    </row>
    <row r="26" spans="1:17" ht="24">
      <c r="A26" s="551"/>
      <c r="B26" s="552"/>
      <c r="C26" s="552"/>
      <c r="D26" s="552"/>
      <c r="E26" s="531"/>
      <c r="F26" s="552"/>
      <c r="G26" s="532"/>
      <c r="H26" s="554"/>
      <c r="I26" s="552"/>
      <c r="J26" s="533"/>
      <c r="K26" s="533"/>
      <c r="L26" s="561"/>
      <c r="M26" s="533"/>
      <c r="N26" s="533"/>
      <c r="O26" s="533"/>
      <c r="P26" s="533"/>
      <c r="Q26" s="533"/>
    </row>
    <row r="27" spans="1:17" ht="24">
      <c r="A27" s="552"/>
      <c r="B27" s="552"/>
      <c r="C27" s="552"/>
      <c r="D27" s="552"/>
      <c r="E27" s="552"/>
      <c r="F27" s="552"/>
      <c r="G27" s="532"/>
      <c r="H27" s="554"/>
      <c r="I27" s="552"/>
      <c r="J27" s="533"/>
      <c r="K27" s="533"/>
      <c r="L27" s="561"/>
      <c r="M27" s="533"/>
      <c r="N27" s="533"/>
      <c r="O27" s="533"/>
      <c r="P27" s="533"/>
      <c r="Q27" s="533"/>
    </row>
    <row r="28" spans="1:17" ht="24">
      <c r="A28" s="551"/>
      <c r="B28" s="552"/>
      <c r="C28" s="552"/>
      <c r="D28" s="552"/>
      <c r="E28" s="532"/>
      <c r="F28" s="555"/>
      <c r="G28" s="532"/>
      <c r="H28" s="554"/>
      <c r="I28" s="552"/>
      <c r="J28" s="533"/>
      <c r="K28" s="533"/>
      <c r="L28" s="561"/>
      <c r="M28" s="533"/>
      <c r="N28" s="533"/>
      <c r="O28" s="533"/>
      <c r="P28" s="533"/>
      <c r="Q28" s="533"/>
    </row>
    <row r="29" spans="1:17" ht="24">
      <c r="A29" s="533"/>
      <c r="B29" s="533"/>
      <c r="C29" s="533"/>
      <c r="D29" s="533"/>
      <c r="E29" s="533"/>
      <c r="F29" s="533"/>
      <c r="G29" s="533"/>
      <c r="H29" s="532"/>
      <c r="I29" s="533"/>
      <c r="J29" s="533"/>
      <c r="K29" s="533"/>
      <c r="L29" s="561"/>
      <c r="M29" s="533"/>
      <c r="N29" s="533"/>
      <c r="O29" s="533"/>
      <c r="P29" s="533"/>
      <c r="Q29" s="533"/>
    </row>
    <row r="30" spans="1:17" ht="24">
      <c r="A30" s="533"/>
      <c r="B30" s="533"/>
      <c r="C30" s="532"/>
      <c r="D30" s="532"/>
      <c r="E30" s="535"/>
      <c r="F30" s="557"/>
      <c r="G30" s="533"/>
      <c r="H30" s="557"/>
      <c r="I30" s="535"/>
      <c r="J30" s="533"/>
      <c r="K30" s="533"/>
      <c r="L30" s="561"/>
      <c r="M30" s="533"/>
      <c r="N30" s="533"/>
      <c r="O30" s="533"/>
      <c r="P30" s="533"/>
      <c r="Q30" s="533"/>
    </row>
    <row r="31" spans="1:17" ht="24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61"/>
      <c r="M31" s="533"/>
      <c r="N31" s="533"/>
      <c r="O31" s="533"/>
      <c r="P31" s="533"/>
      <c r="Q31" s="533"/>
    </row>
    <row r="32" spans="1:17" ht="24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61"/>
      <c r="M32" s="533"/>
      <c r="N32" s="533"/>
      <c r="O32" s="533"/>
      <c r="P32" s="533"/>
      <c r="Q32" s="533"/>
    </row>
    <row r="33" spans="1:17" ht="24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61"/>
      <c r="M33" s="533"/>
      <c r="N33" s="533"/>
      <c r="O33" s="533"/>
      <c r="P33" s="533"/>
      <c r="Q33" s="533"/>
    </row>
    <row r="34" spans="1:17" ht="24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61"/>
      <c r="M34" s="533"/>
      <c r="N34" s="533"/>
      <c r="O34" s="533"/>
      <c r="P34" s="533"/>
      <c r="Q34" s="533"/>
    </row>
    <row r="35" spans="1:17" ht="24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61"/>
      <c r="M35" s="533"/>
      <c r="N35" s="533"/>
      <c r="O35" s="533"/>
      <c r="P35" s="533"/>
      <c r="Q35" s="533"/>
    </row>
    <row r="36" spans="1:17" ht="24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61"/>
      <c r="M36" s="533"/>
      <c r="N36" s="533"/>
      <c r="O36" s="533"/>
      <c r="P36" s="533"/>
      <c r="Q36" s="533"/>
    </row>
    <row r="37" spans="1:17" ht="24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61"/>
      <c r="M37" s="533"/>
      <c r="N37" s="533"/>
      <c r="O37" s="533"/>
      <c r="P37" s="533"/>
      <c r="Q37" s="533"/>
    </row>
    <row r="38" spans="1:17" ht="24">
      <c r="A38" s="533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61"/>
      <c r="M38" s="533"/>
      <c r="N38" s="533"/>
      <c r="O38" s="533"/>
      <c r="P38" s="533"/>
      <c r="Q38" s="533"/>
    </row>
    <row r="39" spans="1:17" ht="24">
      <c r="A39" s="533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61"/>
      <c r="M39" s="533"/>
      <c r="N39" s="533"/>
      <c r="O39" s="533"/>
      <c r="P39" s="533"/>
      <c r="Q39" s="533"/>
    </row>
    <row r="40" spans="1:17" ht="24">
      <c r="A40" s="533"/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61"/>
      <c r="M40" s="533"/>
      <c r="N40" s="533"/>
      <c r="O40" s="533"/>
      <c r="P40" s="533"/>
      <c r="Q40" s="533"/>
    </row>
    <row r="41" spans="1:17" ht="24">
      <c r="A41" s="533"/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61"/>
      <c r="M41" s="533"/>
      <c r="N41" s="533"/>
      <c r="O41" s="533"/>
      <c r="P41" s="533"/>
      <c r="Q41" s="533"/>
    </row>
    <row r="42" spans="1:17" ht="24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61"/>
      <c r="M42" s="533"/>
      <c r="N42" s="533"/>
      <c r="O42" s="533"/>
      <c r="P42" s="533"/>
      <c r="Q42" s="533"/>
    </row>
    <row r="43" spans="1:17" ht="24">
      <c r="A43" s="533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61"/>
      <c r="M43" s="533"/>
      <c r="N43" s="533"/>
      <c r="O43" s="533"/>
      <c r="P43" s="533"/>
      <c r="Q43" s="533"/>
    </row>
    <row r="44" spans="1:17" ht="24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61"/>
      <c r="M44" s="533"/>
      <c r="N44" s="533"/>
      <c r="O44" s="533"/>
      <c r="P44" s="533"/>
      <c r="Q44" s="533"/>
    </row>
    <row r="45" spans="1:17" ht="24">
      <c r="A45" s="533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61"/>
      <c r="M45" s="533"/>
      <c r="N45" s="533"/>
      <c r="O45" s="533"/>
      <c r="P45" s="533"/>
      <c r="Q45" s="533"/>
    </row>
    <row r="46" spans="1:17" ht="24">
      <c r="A46" s="533"/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61"/>
      <c r="M46" s="533"/>
      <c r="N46" s="533"/>
      <c r="O46" s="533"/>
      <c r="P46" s="533"/>
      <c r="Q46" s="533"/>
    </row>
    <row r="47" spans="1:17" ht="24">
      <c r="A47" s="533"/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61"/>
      <c r="M47" s="533"/>
      <c r="N47" s="533"/>
      <c r="O47" s="533"/>
      <c r="P47" s="533"/>
      <c r="Q47" s="533"/>
    </row>
    <row r="48" spans="1:17" ht="24">
      <c r="A48" s="533"/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61"/>
      <c r="M48" s="533"/>
      <c r="N48" s="533"/>
      <c r="O48" s="533"/>
      <c r="P48" s="533"/>
      <c r="Q48" s="533"/>
    </row>
    <row r="49" spans="1:17" ht="24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61"/>
      <c r="M49" s="533"/>
      <c r="N49" s="533"/>
      <c r="O49" s="533"/>
      <c r="P49" s="533"/>
      <c r="Q49" s="533"/>
    </row>
    <row r="50" spans="1:17" ht="24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61"/>
      <c r="M50" s="533"/>
      <c r="N50" s="533"/>
      <c r="O50" s="533"/>
      <c r="P50" s="533"/>
      <c r="Q50" s="533"/>
    </row>
    <row r="51" spans="1:17" ht="24">
      <c r="A51" s="533"/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61"/>
      <c r="M51" s="533"/>
      <c r="N51" s="533"/>
      <c r="O51" s="533"/>
      <c r="P51" s="533"/>
      <c r="Q51" s="533"/>
    </row>
    <row r="52" spans="1:17" ht="24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61"/>
      <c r="M52" s="533"/>
      <c r="N52" s="533"/>
      <c r="O52" s="533"/>
      <c r="P52" s="533"/>
      <c r="Q52" s="533"/>
    </row>
    <row r="53" spans="1:17" ht="24">
      <c r="A53" s="533"/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61"/>
      <c r="M53" s="533"/>
      <c r="N53" s="533"/>
      <c r="O53" s="533"/>
      <c r="P53" s="533"/>
      <c r="Q53" s="533"/>
    </row>
    <row r="54" spans="1:17" ht="24">
      <c r="A54" s="533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61"/>
      <c r="M54" s="533"/>
      <c r="N54" s="533"/>
      <c r="O54" s="533"/>
      <c r="P54" s="533"/>
      <c r="Q54" s="533"/>
    </row>
    <row r="55" spans="1:17" ht="24">
      <c r="A55" s="533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61"/>
      <c r="M55" s="533"/>
      <c r="N55" s="533"/>
      <c r="O55" s="533"/>
      <c r="P55" s="533"/>
      <c r="Q55" s="533"/>
    </row>
    <row r="56" spans="1:17" ht="24">
      <c r="A56" s="533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61"/>
      <c r="M56" s="533"/>
      <c r="N56" s="533"/>
      <c r="O56" s="533"/>
      <c r="P56" s="533"/>
      <c r="Q56" s="533"/>
    </row>
    <row r="57" spans="1:17" ht="24">
      <c r="A57" s="533"/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61"/>
      <c r="M57" s="533"/>
      <c r="N57" s="533"/>
      <c r="O57" s="533"/>
      <c r="P57" s="533"/>
      <c r="Q57" s="533"/>
    </row>
    <row r="58" spans="1:17" ht="24">
      <c r="A58" s="533"/>
      <c r="B58" s="533"/>
      <c r="C58" s="533"/>
      <c r="D58" s="533"/>
      <c r="E58" s="533"/>
      <c r="F58" s="533"/>
      <c r="G58" s="533"/>
      <c r="H58" s="533"/>
      <c r="I58" s="533"/>
      <c r="J58" s="533"/>
      <c r="K58" s="533"/>
      <c r="L58" s="561"/>
      <c r="M58" s="533"/>
      <c r="N58" s="533"/>
      <c r="O58" s="533"/>
      <c r="P58" s="533"/>
      <c r="Q58" s="533"/>
    </row>
    <row r="59" spans="1:17" ht="24">
      <c r="A59" s="533"/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61"/>
      <c r="M59" s="533"/>
      <c r="N59" s="533"/>
      <c r="O59" s="533"/>
      <c r="P59" s="533"/>
      <c r="Q59" s="533"/>
    </row>
    <row r="60" spans="1:17" ht="24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61"/>
      <c r="M60" s="533"/>
      <c r="N60" s="533"/>
      <c r="O60" s="533"/>
      <c r="P60" s="533"/>
      <c r="Q60" s="533"/>
    </row>
    <row r="61" spans="1:17" ht="24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61"/>
      <c r="M61" s="533"/>
      <c r="N61" s="533"/>
      <c r="O61" s="533"/>
      <c r="P61" s="533"/>
      <c r="Q61" s="533"/>
    </row>
    <row r="62" spans="1:17" ht="24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61"/>
      <c r="M62" s="533"/>
      <c r="N62" s="533"/>
      <c r="O62" s="533"/>
      <c r="P62" s="533"/>
      <c r="Q62" s="533"/>
    </row>
    <row r="63" spans="1:17" ht="24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61"/>
      <c r="M63" s="533"/>
      <c r="N63" s="533"/>
      <c r="O63" s="533"/>
      <c r="P63" s="533"/>
      <c r="Q63" s="533"/>
    </row>
    <row r="64" spans="1:17" ht="24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61"/>
      <c r="M64" s="533"/>
      <c r="N64" s="533"/>
      <c r="O64" s="533"/>
      <c r="P64" s="533"/>
      <c r="Q64" s="533"/>
    </row>
    <row r="65" spans="1:17" ht="24">
      <c r="A65" s="533"/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61"/>
      <c r="M65" s="533"/>
      <c r="N65" s="533"/>
      <c r="O65" s="533"/>
      <c r="P65" s="533"/>
      <c r="Q65" s="533"/>
    </row>
    <row r="66" spans="1:17" ht="24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61"/>
      <c r="M66" s="533"/>
      <c r="N66" s="533"/>
      <c r="O66" s="533"/>
      <c r="P66" s="533"/>
      <c r="Q66" s="533"/>
    </row>
    <row r="67" spans="1:17" ht="24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61"/>
      <c r="M67" s="533"/>
      <c r="N67" s="533"/>
      <c r="O67" s="533"/>
      <c r="P67" s="533"/>
      <c r="Q67" s="533"/>
    </row>
    <row r="68" spans="1:17" ht="24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61"/>
      <c r="M68" s="533"/>
      <c r="N68" s="533"/>
      <c r="O68" s="533"/>
      <c r="P68" s="533"/>
      <c r="Q68" s="533"/>
    </row>
    <row r="69" spans="1:17" ht="24">
      <c r="A69" s="533"/>
      <c r="B69" s="533"/>
      <c r="C69" s="533"/>
      <c r="D69" s="533"/>
      <c r="E69" s="533"/>
      <c r="F69" s="533"/>
      <c r="G69" s="533"/>
      <c r="H69" s="533"/>
      <c r="I69" s="533"/>
      <c r="J69" s="533"/>
      <c r="K69" s="533"/>
      <c r="L69" s="561"/>
      <c r="M69" s="533"/>
      <c r="N69" s="533"/>
      <c r="O69" s="533"/>
      <c r="P69" s="533"/>
      <c r="Q69" s="533"/>
    </row>
    <row r="70" spans="1:17" ht="24">
      <c r="A70" s="533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61"/>
      <c r="M70" s="533"/>
      <c r="N70" s="533"/>
      <c r="O70" s="533"/>
      <c r="P70" s="533"/>
      <c r="Q70" s="533"/>
    </row>
    <row r="71" spans="1:17" ht="24">
      <c r="A71" s="533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61"/>
      <c r="M71" s="533"/>
      <c r="N71" s="533"/>
      <c r="O71" s="533"/>
      <c r="P71" s="533"/>
      <c r="Q71" s="533"/>
    </row>
    <row r="72" spans="1:17" ht="24">
      <c r="A72" s="533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61"/>
      <c r="M72" s="533"/>
      <c r="N72" s="533"/>
      <c r="O72" s="533"/>
      <c r="P72" s="533"/>
      <c r="Q72" s="533"/>
    </row>
    <row r="73" spans="1:17" ht="24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61"/>
      <c r="M73" s="533"/>
      <c r="N73" s="533"/>
      <c r="O73" s="533"/>
      <c r="P73" s="533"/>
      <c r="Q73" s="533"/>
    </row>
    <row r="74" spans="1:17" ht="24">
      <c r="A74" s="533"/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61"/>
      <c r="M74" s="533"/>
      <c r="N74" s="533"/>
      <c r="O74" s="533"/>
      <c r="P74" s="533"/>
      <c r="Q74" s="533"/>
    </row>
    <row r="75" spans="1:17" ht="24">
      <c r="A75" s="533"/>
      <c r="B75" s="533"/>
      <c r="C75" s="533"/>
      <c r="D75" s="533"/>
      <c r="E75" s="533"/>
      <c r="F75" s="533"/>
      <c r="G75" s="533"/>
      <c r="H75" s="533"/>
      <c r="I75" s="533"/>
      <c r="J75" s="533"/>
      <c r="K75" s="533"/>
      <c r="L75" s="561"/>
      <c r="M75" s="533"/>
      <c r="N75" s="533"/>
      <c r="O75" s="533"/>
      <c r="P75" s="533"/>
      <c r="Q75" s="533"/>
    </row>
    <row r="76" spans="1:17" ht="24">
      <c r="A76" s="533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61"/>
      <c r="M76" s="533"/>
      <c r="N76" s="533"/>
      <c r="O76" s="533"/>
      <c r="P76" s="533"/>
      <c r="Q76" s="533"/>
    </row>
    <row r="77" spans="1:17" ht="24">
      <c r="A77" s="533"/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61"/>
      <c r="M77" s="533"/>
      <c r="N77" s="533"/>
      <c r="O77" s="533"/>
      <c r="P77" s="533"/>
      <c r="Q77" s="533"/>
    </row>
    <row r="78" spans="1:17" ht="24">
      <c r="A78" s="533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61"/>
      <c r="M78" s="533"/>
      <c r="N78" s="533"/>
      <c r="O78" s="533"/>
      <c r="P78" s="533"/>
      <c r="Q78" s="533"/>
    </row>
    <row r="79" spans="1:17" ht="24">
      <c r="A79" s="533"/>
      <c r="B79" s="533"/>
      <c r="C79" s="533"/>
      <c r="D79" s="533"/>
      <c r="E79" s="533"/>
      <c r="F79" s="533"/>
      <c r="G79" s="533"/>
      <c r="H79" s="533"/>
      <c r="I79" s="533"/>
      <c r="J79" s="533"/>
      <c r="K79" s="533"/>
      <c r="L79" s="561"/>
      <c r="M79" s="533"/>
      <c r="N79" s="533"/>
      <c r="O79" s="533"/>
      <c r="P79" s="533"/>
      <c r="Q79" s="533"/>
    </row>
    <row r="80" spans="1:17" ht="24">
      <c r="A80" s="533"/>
      <c r="B80" s="533"/>
      <c r="C80" s="533"/>
      <c r="D80" s="533"/>
      <c r="E80" s="533"/>
      <c r="F80" s="533"/>
      <c r="G80" s="533"/>
      <c r="H80" s="533"/>
      <c r="I80" s="533"/>
      <c r="J80" s="533"/>
      <c r="K80" s="533"/>
      <c r="L80" s="561"/>
      <c r="M80" s="533"/>
      <c r="N80" s="533"/>
      <c r="O80" s="533"/>
      <c r="P80" s="533"/>
      <c r="Q80" s="533"/>
    </row>
    <row r="81" spans="1:17" ht="24">
      <c r="A81" s="533"/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61"/>
      <c r="M81" s="533"/>
      <c r="N81" s="533"/>
      <c r="O81" s="533"/>
      <c r="P81" s="533"/>
      <c r="Q81" s="533"/>
    </row>
    <row r="82" spans="1:17" ht="24">
      <c r="A82" s="533"/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61"/>
      <c r="M82" s="533"/>
      <c r="N82" s="533"/>
      <c r="O82" s="533"/>
      <c r="P82" s="533"/>
      <c r="Q82" s="533"/>
    </row>
    <row r="83" spans="1:17" ht="24">
      <c r="A83" s="533"/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61"/>
      <c r="M83" s="533"/>
      <c r="N83" s="533"/>
      <c r="O83" s="533"/>
      <c r="P83" s="533"/>
      <c r="Q83" s="533"/>
    </row>
    <row r="84" spans="1:17" ht="24">
      <c r="A84" s="533"/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61"/>
      <c r="M84" s="533"/>
      <c r="N84" s="533"/>
      <c r="O84" s="533"/>
      <c r="P84" s="533"/>
      <c r="Q84" s="533"/>
    </row>
    <row r="85" spans="1:17" ht="24">
      <c r="A85" s="533"/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61"/>
      <c r="M85" s="533"/>
      <c r="N85" s="533"/>
      <c r="O85" s="533"/>
      <c r="P85" s="533"/>
      <c r="Q85" s="533"/>
    </row>
    <row r="86" spans="1:17" ht="24">
      <c r="A86" s="533"/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61"/>
      <c r="M86" s="533"/>
      <c r="N86" s="533"/>
      <c r="O86" s="533"/>
      <c r="P86" s="533"/>
      <c r="Q86" s="533"/>
    </row>
    <row r="87" spans="1:17" ht="24">
      <c r="A87" s="533"/>
      <c r="B87" s="533"/>
      <c r="C87" s="533"/>
      <c r="D87" s="533"/>
      <c r="E87" s="533"/>
      <c r="F87" s="533"/>
      <c r="G87" s="533"/>
      <c r="H87" s="533"/>
      <c r="I87" s="533"/>
      <c r="J87" s="533"/>
      <c r="K87" s="533"/>
      <c r="L87" s="561"/>
      <c r="M87" s="533"/>
      <c r="N87" s="533"/>
      <c r="O87" s="533"/>
      <c r="P87" s="533"/>
      <c r="Q87" s="533"/>
    </row>
    <row r="88" spans="1:17" ht="24">
      <c r="A88" s="533"/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61"/>
      <c r="M88" s="533"/>
      <c r="N88" s="533"/>
      <c r="O88" s="533"/>
      <c r="P88" s="533"/>
      <c r="Q88" s="533"/>
    </row>
    <row r="89" spans="1:17" ht="24">
      <c r="A89" s="533"/>
      <c r="B89" s="533"/>
      <c r="C89" s="533"/>
      <c r="D89" s="533"/>
      <c r="E89" s="533"/>
      <c r="F89" s="533"/>
      <c r="G89" s="533"/>
      <c r="H89" s="533"/>
      <c r="I89" s="533"/>
      <c r="J89" s="533"/>
      <c r="K89" s="533"/>
      <c r="L89" s="561"/>
      <c r="M89" s="533"/>
      <c r="N89" s="533"/>
      <c r="O89" s="533"/>
      <c r="P89" s="533"/>
      <c r="Q89" s="533"/>
    </row>
    <row r="90" spans="1:17" ht="24">
      <c r="A90" s="53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61"/>
      <c r="M90" s="533"/>
      <c r="N90" s="533"/>
      <c r="O90" s="533"/>
      <c r="P90" s="533"/>
      <c r="Q90" s="533"/>
    </row>
    <row r="91" spans="1:17" ht="24">
      <c r="A91" s="533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61"/>
      <c r="M91" s="533"/>
      <c r="N91" s="533"/>
      <c r="O91" s="533"/>
      <c r="P91" s="533"/>
      <c r="Q91" s="533"/>
    </row>
    <row r="92" spans="1:17" ht="24">
      <c r="A92" s="533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61"/>
      <c r="M92" s="533"/>
      <c r="N92" s="533"/>
      <c r="O92" s="533"/>
      <c r="P92" s="533"/>
      <c r="Q92" s="533"/>
    </row>
    <row r="93" spans="1:17" ht="24">
      <c r="A93" s="533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61"/>
      <c r="M93" s="533"/>
      <c r="N93" s="533"/>
      <c r="O93" s="533"/>
      <c r="P93" s="533"/>
      <c r="Q93" s="533"/>
    </row>
    <row r="94" spans="1:17" ht="24">
      <c r="A94" s="533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61"/>
      <c r="M94" s="533"/>
      <c r="N94" s="533"/>
      <c r="O94" s="533"/>
      <c r="P94" s="533"/>
      <c r="Q94" s="533"/>
    </row>
    <row r="95" spans="1:17" ht="24">
      <c r="A95" s="533"/>
      <c r="B95" s="533"/>
      <c r="C95" s="533"/>
      <c r="D95" s="533"/>
      <c r="E95" s="533"/>
      <c r="F95" s="533"/>
      <c r="G95" s="533"/>
      <c r="H95" s="533"/>
      <c r="I95" s="533"/>
      <c r="J95" s="533"/>
      <c r="K95" s="533"/>
      <c r="L95" s="561"/>
      <c r="M95" s="533"/>
      <c r="N95" s="533"/>
      <c r="O95" s="533"/>
      <c r="P95" s="533"/>
      <c r="Q95" s="533"/>
    </row>
    <row r="96" spans="1:17" ht="24">
      <c r="A96" s="533"/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61"/>
      <c r="M96" s="533"/>
      <c r="N96" s="533"/>
      <c r="O96" s="533"/>
      <c r="P96" s="533"/>
      <c r="Q96" s="533"/>
    </row>
    <row r="97" spans="1:17" ht="24">
      <c r="A97" s="53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61"/>
      <c r="M97" s="533"/>
      <c r="N97" s="533"/>
      <c r="O97" s="533"/>
      <c r="P97" s="533"/>
      <c r="Q97" s="533"/>
    </row>
    <row r="98" spans="1:17" ht="24">
      <c r="A98" s="533"/>
      <c r="B98" s="533"/>
      <c r="C98" s="533"/>
      <c r="D98" s="533"/>
      <c r="E98" s="533"/>
      <c r="F98" s="533"/>
      <c r="G98" s="533"/>
      <c r="H98" s="533"/>
      <c r="I98" s="533"/>
      <c r="J98" s="533"/>
      <c r="K98" s="533"/>
      <c r="L98" s="561"/>
      <c r="M98" s="533"/>
      <c r="N98" s="533"/>
      <c r="O98" s="533"/>
      <c r="P98" s="533"/>
      <c r="Q98" s="533"/>
    </row>
    <row r="99" spans="1:17" ht="24">
      <c r="A99" s="53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61"/>
      <c r="M99" s="533"/>
      <c r="N99" s="533"/>
      <c r="O99" s="533"/>
      <c r="P99" s="533"/>
      <c r="Q99" s="533"/>
    </row>
    <row r="100" spans="1:17" ht="24">
      <c r="A100" s="533"/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61"/>
      <c r="M100" s="533"/>
      <c r="N100" s="533"/>
      <c r="O100" s="533"/>
      <c r="P100" s="533"/>
      <c r="Q100" s="533"/>
    </row>
    <row r="101" spans="1:17" ht="24">
      <c r="A101" s="533"/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61"/>
      <c r="M101" s="533"/>
      <c r="N101" s="533"/>
      <c r="O101" s="533"/>
      <c r="P101" s="533"/>
      <c r="Q101" s="533"/>
    </row>
    <row r="102" spans="1:17" ht="24">
      <c r="A102" s="533"/>
      <c r="B102" s="533"/>
      <c r="C102" s="533"/>
      <c r="D102" s="533"/>
      <c r="E102" s="533"/>
      <c r="F102" s="533"/>
      <c r="G102" s="533"/>
      <c r="H102" s="533"/>
      <c r="I102" s="533"/>
      <c r="J102" s="533"/>
      <c r="K102" s="533"/>
      <c r="L102" s="561"/>
      <c r="M102" s="533"/>
      <c r="N102" s="533"/>
      <c r="O102" s="533"/>
      <c r="P102" s="533"/>
      <c r="Q102" s="533"/>
    </row>
    <row r="103" spans="1:17" ht="24">
      <c r="A103" s="533"/>
      <c r="B103" s="533"/>
      <c r="C103" s="533"/>
      <c r="D103" s="533"/>
      <c r="E103" s="533"/>
      <c r="F103" s="533"/>
      <c r="G103" s="533"/>
      <c r="H103" s="533"/>
      <c r="I103" s="533"/>
      <c r="J103" s="533"/>
      <c r="K103" s="533"/>
      <c r="L103" s="561"/>
      <c r="M103" s="533"/>
      <c r="N103" s="533"/>
      <c r="O103" s="533"/>
      <c r="P103" s="533"/>
      <c r="Q103" s="533"/>
    </row>
    <row r="104" spans="1:17" ht="24">
      <c r="A104" s="533"/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61"/>
      <c r="M104" s="533"/>
      <c r="N104" s="533"/>
      <c r="O104" s="533"/>
      <c r="P104" s="533"/>
      <c r="Q104" s="533"/>
    </row>
    <row r="105" spans="1:17" ht="24">
      <c r="A105" s="533"/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61"/>
      <c r="M105" s="533"/>
      <c r="N105" s="533"/>
      <c r="O105" s="533"/>
      <c r="P105" s="533"/>
      <c r="Q105" s="533"/>
    </row>
    <row r="106" spans="1:17" ht="24">
      <c r="A106" s="533"/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61"/>
      <c r="M106" s="533"/>
      <c r="N106" s="533"/>
      <c r="O106" s="533"/>
      <c r="P106" s="533"/>
      <c r="Q106" s="533"/>
    </row>
    <row r="107" spans="1:17" ht="24">
      <c r="A107" s="533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61"/>
      <c r="M107" s="533"/>
      <c r="N107" s="533"/>
      <c r="O107" s="533"/>
      <c r="P107" s="533"/>
      <c r="Q107" s="533"/>
    </row>
    <row r="108" spans="1:17" ht="24">
      <c r="A108" s="533"/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61"/>
      <c r="M108" s="533"/>
      <c r="N108" s="533"/>
      <c r="O108" s="533"/>
      <c r="P108" s="533"/>
      <c r="Q108" s="533"/>
    </row>
    <row r="109" spans="1:17" ht="24">
      <c r="A109" s="533"/>
      <c r="B109" s="533"/>
      <c r="C109" s="533"/>
      <c r="D109" s="533"/>
      <c r="E109" s="533"/>
      <c r="F109" s="533"/>
      <c r="G109" s="533"/>
      <c r="H109" s="533"/>
      <c r="I109" s="533"/>
      <c r="J109" s="533"/>
      <c r="K109" s="533"/>
      <c r="L109" s="561"/>
      <c r="M109" s="533"/>
      <c r="N109" s="533"/>
      <c r="O109" s="533"/>
      <c r="P109" s="533"/>
      <c r="Q109" s="533"/>
    </row>
    <row r="110" spans="1:17" ht="24">
      <c r="A110" s="533"/>
      <c r="B110" s="533"/>
      <c r="C110" s="533"/>
      <c r="D110" s="533"/>
      <c r="E110" s="533"/>
      <c r="F110" s="533"/>
      <c r="G110" s="533"/>
      <c r="H110" s="533"/>
      <c r="I110" s="533"/>
      <c r="J110" s="533"/>
      <c r="K110" s="533"/>
      <c r="L110" s="561"/>
      <c r="M110" s="533"/>
      <c r="N110" s="533"/>
      <c r="O110" s="533"/>
      <c r="P110" s="533"/>
      <c r="Q110" s="533"/>
    </row>
    <row r="111" spans="1:17" ht="24">
      <c r="A111" s="533"/>
      <c r="B111" s="533"/>
      <c r="C111" s="533"/>
      <c r="D111" s="533"/>
      <c r="E111" s="533"/>
      <c r="F111" s="533"/>
      <c r="G111" s="533"/>
      <c r="H111" s="533"/>
      <c r="I111" s="533"/>
      <c r="J111" s="533"/>
      <c r="K111" s="533"/>
      <c r="L111" s="561"/>
      <c r="M111" s="533"/>
      <c r="N111" s="533"/>
      <c r="O111" s="533"/>
      <c r="P111" s="533"/>
      <c r="Q111" s="533"/>
    </row>
    <row r="112" spans="1:17" ht="24">
      <c r="A112" s="533"/>
      <c r="B112" s="533"/>
      <c r="C112" s="533"/>
      <c r="D112" s="533"/>
      <c r="E112" s="533"/>
      <c r="F112" s="533"/>
      <c r="G112" s="533"/>
      <c r="H112" s="533"/>
      <c r="I112" s="533"/>
      <c r="J112" s="533"/>
      <c r="K112" s="533"/>
      <c r="L112" s="561"/>
      <c r="M112" s="533"/>
      <c r="N112" s="533"/>
      <c r="O112" s="533"/>
      <c r="P112" s="533"/>
      <c r="Q112" s="533"/>
    </row>
    <row r="113" spans="1:17" ht="24">
      <c r="A113" s="533"/>
      <c r="B113" s="533"/>
      <c r="C113" s="533"/>
      <c r="D113" s="533"/>
      <c r="E113" s="533"/>
      <c r="F113" s="533"/>
      <c r="G113" s="533"/>
      <c r="H113" s="533"/>
      <c r="I113" s="533"/>
      <c r="J113" s="533"/>
      <c r="K113" s="533"/>
      <c r="L113" s="561"/>
      <c r="M113" s="533"/>
      <c r="N113" s="533"/>
      <c r="O113" s="533"/>
      <c r="P113" s="533"/>
      <c r="Q113" s="533"/>
    </row>
    <row r="114" spans="1:17" ht="24">
      <c r="A114" s="533"/>
      <c r="B114" s="533"/>
      <c r="C114" s="533"/>
      <c r="D114" s="533"/>
      <c r="E114" s="533"/>
      <c r="F114" s="533"/>
      <c r="G114" s="533"/>
      <c r="H114" s="533"/>
      <c r="I114" s="533"/>
      <c r="J114" s="533"/>
      <c r="K114" s="533"/>
      <c r="L114" s="561"/>
      <c r="M114" s="533"/>
      <c r="N114" s="533"/>
      <c r="O114" s="533"/>
      <c r="P114" s="533"/>
      <c r="Q114" s="533"/>
    </row>
    <row r="115" spans="1:17" ht="24">
      <c r="A115" s="533"/>
      <c r="B115" s="533"/>
      <c r="C115" s="533"/>
      <c r="D115" s="533"/>
      <c r="E115" s="533"/>
      <c r="F115" s="533"/>
      <c r="G115" s="533"/>
      <c r="H115" s="533"/>
      <c r="I115" s="533"/>
      <c r="J115" s="533"/>
      <c r="K115" s="533"/>
      <c r="L115" s="561"/>
      <c r="M115" s="533"/>
      <c r="N115" s="533"/>
      <c r="O115" s="533"/>
      <c r="P115" s="533"/>
      <c r="Q115" s="533"/>
    </row>
    <row r="116" spans="1:17" ht="24">
      <c r="A116" s="533"/>
      <c r="B116" s="533"/>
      <c r="C116" s="533"/>
      <c r="D116" s="533"/>
      <c r="E116" s="533"/>
      <c r="F116" s="533"/>
      <c r="G116" s="533"/>
      <c r="H116" s="533"/>
      <c r="I116" s="533"/>
      <c r="J116" s="533"/>
      <c r="K116" s="533"/>
      <c r="L116" s="561"/>
      <c r="M116" s="533"/>
      <c r="N116" s="533"/>
      <c r="O116" s="533"/>
      <c r="P116" s="533"/>
      <c r="Q116" s="533"/>
    </row>
    <row r="117" spans="1:17" ht="24">
      <c r="A117" s="533"/>
      <c r="B117" s="533"/>
      <c r="C117" s="533"/>
      <c r="D117" s="533"/>
      <c r="E117" s="533"/>
      <c r="F117" s="533"/>
      <c r="G117" s="533"/>
      <c r="H117" s="533"/>
      <c r="I117" s="533"/>
      <c r="J117" s="533"/>
      <c r="K117" s="533"/>
      <c r="L117" s="561"/>
      <c r="M117" s="533"/>
      <c r="N117" s="533"/>
      <c r="O117" s="533"/>
      <c r="P117" s="533"/>
      <c r="Q117" s="533"/>
    </row>
    <row r="118" spans="1:17" ht="24">
      <c r="A118" s="533"/>
      <c r="B118" s="533"/>
      <c r="C118" s="533"/>
      <c r="D118" s="533"/>
      <c r="E118" s="533"/>
      <c r="F118" s="533"/>
      <c r="G118" s="533"/>
      <c r="H118" s="533"/>
      <c r="I118" s="533"/>
      <c r="J118" s="533"/>
      <c r="K118" s="533"/>
      <c r="L118" s="561"/>
      <c r="M118" s="533"/>
      <c r="N118" s="533"/>
      <c r="O118" s="533"/>
      <c r="P118" s="533"/>
      <c r="Q118" s="533"/>
    </row>
    <row r="119" spans="1:17" ht="24">
      <c r="A119" s="533"/>
      <c r="B119" s="533"/>
      <c r="C119" s="533"/>
      <c r="D119" s="533"/>
      <c r="E119" s="533"/>
      <c r="F119" s="533"/>
      <c r="G119" s="533"/>
      <c r="H119" s="533"/>
      <c r="I119" s="533"/>
      <c r="J119" s="533"/>
      <c r="K119" s="533"/>
      <c r="L119" s="561"/>
      <c r="M119" s="533"/>
      <c r="N119" s="533"/>
      <c r="O119" s="533"/>
      <c r="P119" s="533"/>
      <c r="Q119" s="533"/>
    </row>
    <row r="120" spans="1:17" ht="24">
      <c r="A120" s="533"/>
      <c r="B120" s="533"/>
      <c r="C120" s="533"/>
      <c r="D120" s="533"/>
      <c r="E120" s="533"/>
      <c r="F120" s="533"/>
      <c r="G120" s="533"/>
      <c r="H120" s="533"/>
      <c r="I120" s="533"/>
      <c r="J120" s="533"/>
      <c r="K120" s="533"/>
      <c r="L120" s="561"/>
      <c r="M120" s="533"/>
      <c r="N120" s="533"/>
      <c r="O120" s="533"/>
      <c r="P120" s="533"/>
      <c r="Q120" s="533"/>
    </row>
    <row r="121" spans="1:17" ht="24">
      <c r="A121" s="533"/>
      <c r="B121" s="533"/>
      <c r="C121" s="533"/>
      <c r="D121" s="533"/>
      <c r="E121" s="533"/>
      <c r="F121" s="533"/>
      <c r="G121" s="533"/>
      <c r="H121" s="533"/>
      <c r="I121" s="533"/>
      <c r="J121" s="533"/>
      <c r="K121" s="533"/>
      <c r="L121" s="561"/>
      <c r="M121" s="533"/>
      <c r="N121" s="533"/>
      <c r="O121" s="533"/>
      <c r="P121" s="533"/>
      <c r="Q121" s="533"/>
    </row>
    <row r="122" spans="1:17" ht="24">
      <c r="A122" s="533"/>
      <c r="B122" s="533"/>
      <c r="C122" s="533"/>
      <c r="D122" s="533"/>
      <c r="E122" s="533"/>
      <c r="F122" s="533"/>
      <c r="G122" s="533"/>
      <c r="H122" s="533"/>
      <c r="I122" s="533"/>
      <c r="J122" s="533"/>
      <c r="K122" s="533"/>
      <c r="L122" s="561"/>
      <c r="M122" s="533"/>
      <c r="N122" s="533"/>
      <c r="O122" s="533"/>
      <c r="P122" s="533"/>
      <c r="Q122" s="533"/>
    </row>
    <row r="123" spans="1:17" ht="24">
      <c r="A123" s="533"/>
      <c r="B123" s="533"/>
      <c r="C123" s="533"/>
      <c r="D123" s="533"/>
      <c r="E123" s="533"/>
      <c r="F123" s="533"/>
      <c r="G123" s="533"/>
      <c r="H123" s="533"/>
      <c r="I123" s="533"/>
      <c r="J123" s="533"/>
      <c r="K123" s="533"/>
      <c r="L123" s="561"/>
      <c r="M123" s="533"/>
      <c r="N123" s="533"/>
      <c r="O123" s="533"/>
      <c r="P123" s="533"/>
      <c r="Q123" s="533"/>
    </row>
    <row r="124" spans="1:17" ht="24">
      <c r="A124" s="533"/>
      <c r="B124" s="533"/>
      <c r="C124" s="533"/>
      <c r="D124" s="533"/>
      <c r="E124" s="533"/>
      <c r="F124" s="533"/>
      <c r="G124" s="533"/>
      <c r="H124" s="533"/>
      <c r="I124" s="533"/>
      <c r="J124" s="533"/>
      <c r="K124" s="533"/>
      <c r="L124" s="561"/>
      <c r="M124" s="533"/>
      <c r="N124" s="533"/>
      <c r="O124" s="533"/>
      <c r="P124" s="533"/>
      <c r="Q124" s="533"/>
    </row>
    <row r="125" spans="1:17" ht="24">
      <c r="A125" s="533"/>
      <c r="B125" s="533"/>
      <c r="C125" s="533"/>
      <c r="D125" s="533"/>
      <c r="E125" s="533"/>
      <c r="F125" s="533"/>
      <c r="G125" s="533"/>
      <c r="H125" s="533"/>
      <c r="I125" s="533"/>
      <c r="J125" s="533"/>
      <c r="K125" s="533"/>
      <c r="L125" s="561"/>
      <c r="M125" s="533"/>
      <c r="N125" s="533"/>
      <c r="O125" s="533"/>
      <c r="P125" s="533"/>
      <c r="Q125" s="533"/>
    </row>
    <row r="126" spans="1:17" ht="24">
      <c r="A126" s="533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61"/>
      <c r="M126" s="533"/>
      <c r="N126" s="533"/>
      <c r="O126" s="533"/>
      <c r="P126" s="533"/>
      <c r="Q126" s="533"/>
    </row>
    <row r="127" spans="1:17" ht="24">
      <c r="A127" s="533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61"/>
      <c r="M127" s="533"/>
      <c r="N127" s="533"/>
      <c r="O127" s="533"/>
      <c r="P127" s="533"/>
      <c r="Q127" s="533"/>
    </row>
    <row r="128" spans="1:17" ht="24">
      <c r="A128" s="533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61"/>
      <c r="M128" s="533"/>
      <c r="N128" s="533"/>
      <c r="O128" s="533"/>
      <c r="P128" s="533"/>
      <c r="Q128" s="533"/>
    </row>
    <row r="129" spans="1:17" ht="24">
      <c r="A129" s="533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61"/>
      <c r="M129" s="533"/>
      <c r="N129" s="533"/>
      <c r="O129" s="533"/>
      <c r="P129" s="533"/>
      <c r="Q129" s="533"/>
    </row>
    <row r="130" spans="1:17" ht="24">
      <c r="A130" s="533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61"/>
      <c r="M130" s="533"/>
      <c r="N130" s="533"/>
      <c r="O130" s="533"/>
      <c r="P130" s="533"/>
      <c r="Q130" s="533"/>
    </row>
    <row r="131" spans="1:17" ht="24">
      <c r="A131" s="533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61"/>
      <c r="M131" s="533"/>
      <c r="N131" s="533"/>
      <c r="O131" s="533"/>
      <c r="P131" s="533"/>
      <c r="Q131" s="533"/>
    </row>
    <row r="132" spans="1:17" ht="24">
      <c r="A132" s="533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61"/>
      <c r="M132" s="533"/>
      <c r="N132" s="533"/>
      <c r="O132" s="533"/>
      <c r="P132" s="533"/>
      <c r="Q132" s="533"/>
    </row>
    <row r="133" spans="1:17" ht="24">
      <c r="A133" s="533"/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61"/>
      <c r="M133" s="533"/>
      <c r="N133" s="533"/>
      <c r="O133" s="533"/>
      <c r="P133" s="533"/>
      <c r="Q133" s="533"/>
    </row>
    <row r="134" spans="1:17" ht="24">
      <c r="A134" s="533"/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61"/>
      <c r="M134" s="533"/>
      <c r="N134" s="533"/>
      <c r="O134" s="533"/>
      <c r="P134" s="533"/>
      <c r="Q134" s="533"/>
    </row>
    <row r="135" spans="1:17" ht="24">
      <c r="A135" s="533"/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61"/>
      <c r="M135" s="533"/>
      <c r="N135" s="533"/>
      <c r="O135" s="533"/>
      <c r="P135" s="533"/>
      <c r="Q135" s="533"/>
    </row>
    <row r="136" spans="1:17" ht="24">
      <c r="A136" s="533"/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61"/>
      <c r="M136" s="533"/>
      <c r="N136" s="533"/>
      <c r="O136" s="533"/>
      <c r="P136" s="533"/>
      <c r="Q136" s="533"/>
    </row>
    <row r="137" spans="1:17" ht="24">
      <c r="A137" s="533"/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61"/>
      <c r="M137" s="533"/>
      <c r="N137" s="533"/>
      <c r="O137" s="533"/>
      <c r="P137" s="533"/>
      <c r="Q137" s="533"/>
    </row>
    <row r="138" spans="1:17" ht="24">
      <c r="A138" s="533"/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61"/>
      <c r="M138" s="533"/>
      <c r="N138" s="533"/>
      <c r="O138" s="533"/>
      <c r="P138" s="533"/>
      <c r="Q138" s="533"/>
    </row>
    <row r="139" spans="1:17" ht="24">
      <c r="A139" s="533"/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61"/>
      <c r="M139" s="533"/>
      <c r="N139" s="533"/>
      <c r="O139" s="533"/>
      <c r="P139" s="533"/>
      <c r="Q139" s="533"/>
    </row>
    <row r="140" spans="1:17" ht="24">
      <c r="A140" s="533"/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61"/>
      <c r="M140" s="533"/>
      <c r="N140" s="533"/>
      <c r="O140" s="533"/>
      <c r="P140" s="533"/>
      <c r="Q140" s="533"/>
    </row>
    <row r="141" spans="1:17" ht="24">
      <c r="A141" s="533"/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61"/>
      <c r="M141" s="533"/>
      <c r="N141" s="533"/>
      <c r="O141" s="533"/>
      <c r="P141" s="533"/>
      <c r="Q141" s="533"/>
    </row>
    <row r="142" spans="1:17" ht="24">
      <c r="A142" s="533"/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61"/>
      <c r="M142" s="533"/>
      <c r="N142" s="533"/>
      <c r="O142" s="533"/>
      <c r="P142" s="533"/>
      <c r="Q142" s="533"/>
    </row>
    <row r="143" spans="1:17" ht="24">
      <c r="A143" s="533"/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61"/>
      <c r="M143" s="533"/>
      <c r="N143" s="533"/>
      <c r="O143" s="533"/>
      <c r="P143" s="533"/>
      <c r="Q143" s="533"/>
    </row>
    <row r="144" spans="1:17" ht="24">
      <c r="A144" s="533"/>
      <c r="B144" s="533"/>
      <c r="C144" s="533"/>
      <c r="D144" s="533"/>
      <c r="E144" s="533"/>
      <c r="F144" s="533"/>
      <c r="G144" s="533"/>
      <c r="H144" s="533"/>
      <c r="I144" s="533"/>
      <c r="J144" s="533"/>
      <c r="K144" s="533"/>
      <c r="L144" s="561"/>
      <c r="M144" s="533"/>
      <c r="N144" s="533"/>
      <c r="O144" s="533"/>
      <c r="P144" s="533"/>
      <c r="Q144" s="533"/>
    </row>
    <row r="145" spans="11:12" ht="24">
      <c r="K145" s="533"/>
      <c r="L145" s="561"/>
    </row>
  </sheetData>
  <sheetProtection/>
  <mergeCells count="30">
    <mergeCell ref="G21:H21"/>
    <mergeCell ref="I21:J21"/>
    <mergeCell ref="G18:H18"/>
    <mergeCell ref="I18:J18"/>
    <mergeCell ref="G19:H19"/>
    <mergeCell ref="I19:J19"/>
    <mergeCell ref="A2:J2"/>
    <mergeCell ref="B10:F10"/>
    <mergeCell ref="G10:H10"/>
    <mergeCell ref="I10:J10"/>
    <mergeCell ref="B11:F11"/>
    <mergeCell ref="G11:H11"/>
    <mergeCell ref="I11:J11"/>
    <mergeCell ref="B16:F16"/>
    <mergeCell ref="G16:H16"/>
    <mergeCell ref="I16:J16"/>
    <mergeCell ref="G20:H20"/>
    <mergeCell ref="I20:J20"/>
    <mergeCell ref="C17:E17"/>
    <mergeCell ref="G17:H17"/>
    <mergeCell ref="I17:J17"/>
    <mergeCell ref="G14:H14"/>
    <mergeCell ref="I14:J14"/>
    <mergeCell ref="G15:H15"/>
    <mergeCell ref="I15:J15"/>
    <mergeCell ref="B12:F12"/>
    <mergeCell ref="G12:H12"/>
    <mergeCell ref="I12:J12"/>
    <mergeCell ref="G13:H13"/>
    <mergeCell ref="I13:J13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  <headerFooter>
    <oddHeader>&amp;R&amp;"TH SarabunPSK,Regular"&amp;16แบบ ปร.6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34"/>
  <sheetViews>
    <sheetView showGridLines="0" zoomScale="120" zoomScaleNormal="120" zoomScalePageLayoutView="0" workbookViewId="0" topLeftCell="A1">
      <selection activeCell="A1" sqref="A1:B1"/>
    </sheetView>
  </sheetViews>
  <sheetFormatPr defaultColWidth="9.140625" defaultRowHeight="21.75"/>
  <cols>
    <col min="1" max="1" width="6.57421875" style="0" customWidth="1"/>
    <col min="2" max="2" width="13.7109375" style="0" customWidth="1"/>
    <col min="3" max="3" width="3.7109375" style="0" customWidth="1"/>
    <col min="4" max="5" width="15.7109375" style="0" customWidth="1"/>
    <col min="6" max="7" width="5.7109375" style="0" customWidth="1"/>
    <col min="8" max="8" width="7.7109375" style="0" customWidth="1"/>
    <col min="9" max="9" width="5.7109375" style="0" customWidth="1"/>
    <col min="10" max="12" width="4.28125" style="0" customWidth="1"/>
    <col min="13" max="14" width="4.7109375" style="0" customWidth="1"/>
    <col min="15" max="15" width="7.28125" style="0" customWidth="1"/>
  </cols>
  <sheetData>
    <row r="1" spans="1:15" ht="23.25">
      <c r="A1" s="617" t="s">
        <v>656</v>
      </c>
      <c r="B1" s="617"/>
      <c r="C1" s="622" t="str">
        <f>'ปร.5'!E3</f>
        <v>งานอาคาร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15" ht="21.75">
      <c r="A2" s="617" t="str">
        <f>'ปร.4'!A2</f>
        <v>สถานที่ก่อสร้าง    มหาวิทยาลัยเทคโนโลยีราชมงคลกรุงเทพ 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ht="21.75">
      <c r="A3" s="617" t="str">
        <f>'ปร.4'!D2</f>
        <v>แบบเลขที่   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</row>
    <row r="4" spans="1:15" ht="21.75">
      <c r="A4" s="623" t="str">
        <f>'ปร.4'!A3</f>
        <v>                           (เทคนิคกรุงเทพฯ)</v>
      </c>
      <c r="B4" s="623"/>
      <c r="C4" s="623"/>
      <c r="D4" s="623"/>
      <c r="E4" s="623"/>
      <c r="F4" s="623"/>
      <c r="G4" s="623"/>
      <c r="H4" s="623"/>
      <c r="I4" s="630" t="str">
        <f>'ปร.4'!I2</f>
        <v>รายการเลขที่  </v>
      </c>
      <c r="J4" s="630"/>
      <c r="K4" s="630"/>
      <c r="L4" s="630"/>
      <c r="M4" s="630"/>
      <c r="N4" s="630"/>
      <c r="O4" s="630"/>
    </row>
    <row r="5" spans="1:15" ht="21.75">
      <c r="A5" s="623" t="s">
        <v>657</v>
      </c>
      <c r="B5" s="623"/>
      <c r="C5" s="624" t="s">
        <v>658</v>
      </c>
      <c r="D5" s="624"/>
      <c r="E5" s="624"/>
      <c r="F5" s="629">
        <f ca="1">NOW()</f>
        <v>42647.40067800926</v>
      </c>
      <c r="G5" s="629"/>
      <c r="H5" s="629"/>
      <c r="I5" s="629"/>
      <c r="J5" s="629"/>
      <c r="K5" s="629"/>
      <c r="L5" s="629"/>
      <c r="M5" s="629"/>
      <c r="N5" s="629"/>
      <c r="O5" s="629"/>
    </row>
    <row r="6" spans="1:15" ht="46.5">
      <c r="A6" s="49" t="s">
        <v>659</v>
      </c>
      <c r="B6" s="618" t="s">
        <v>660</v>
      </c>
      <c r="C6" s="619"/>
      <c r="D6" s="49" t="s">
        <v>661</v>
      </c>
      <c r="E6" s="49" t="s">
        <v>662</v>
      </c>
      <c r="F6" s="618" t="s">
        <v>663</v>
      </c>
      <c r="G6" s="619"/>
      <c r="H6" s="618" t="s">
        <v>664</v>
      </c>
      <c r="I6" s="619"/>
      <c r="J6" s="618" t="s">
        <v>665</v>
      </c>
      <c r="K6" s="619"/>
      <c r="L6" s="619"/>
      <c r="M6" s="618" t="s">
        <v>666</v>
      </c>
      <c r="N6" s="619"/>
      <c r="O6" s="49" t="s">
        <v>667</v>
      </c>
    </row>
    <row r="7" spans="1:15" ht="23.25">
      <c r="A7" s="40">
        <v>0</v>
      </c>
      <c r="B7" s="620">
        <v>15000000</v>
      </c>
      <c r="C7" s="620"/>
      <c r="D7" s="41" t="e">
        <f>ROUND(B7*(IF(B7&lt;500000,#REF!,IF(B7&lt;30000000,#REF!,IF(B7&lt;150000000,#REF!,IF(B7&gt;150000000,#REF!))))),0)</f>
        <v>#REF!</v>
      </c>
      <c r="E7" s="42" t="e">
        <f>D7</f>
        <v>#REF!</v>
      </c>
      <c r="F7" s="634" t="e">
        <f>ROUND((B7*(IF(B7&lt;500000,#REF!,IF(B7&lt;30000000,#REF!,IF(B7&lt;150000000,#REF!,IF(B7&gt;150000000,#REF!))))))*100/E7,2)</f>
        <v>#REF!</v>
      </c>
      <c r="G7" s="634"/>
      <c r="H7" s="640" t="e">
        <f>ROUND($E$7*F7%,0)</f>
        <v>#REF!</v>
      </c>
      <c r="I7" s="640"/>
      <c r="J7" s="625">
        <v>0</v>
      </c>
      <c r="K7" s="625"/>
      <c r="L7" s="625"/>
      <c r="M7" s="642" t="e">
        <f>ROUND(H7*100/E7,2)</f>
        <v>#REF!</v>
      </c>
      <c r="N7" s="642"/>
      <c r="O7" s="43">
        <f>O34</f>
        <v>450</v>
      </c>
    </row>
    <row r="8" spans="1:15" ht="23.25">
      <c r="A8" s="44">
        <v>1</v>
      </c>
      <c r="B8" s="621">
        <v>1000000</v>
      </c>
      <c r="C8" s="621"/>
      <c r="D8" s="39" t="e">
        <f>ROUND(B8*(IF(B8&lt;500000,#REF!,IF(B8&lt;30000000,#REF!,IF(B8&lt;150000000,#REF!,IF(B8&gt;150000000,#REF!))))),0)</f>
        <v>#REF!</v>
      </c>
      <c r="E8" s="44" t="e">
        <f>D8</f>
        <v>#REF!</v>
      </c>
      <c r="F8" s="627" t="e">
        <f>ROUND(E8*0.8*100/$E$7,2)</f>
        <v>#REF!</v>
      </c>
      <c r="G8" s="628"/>
      <c r="H8" s="626" t="e">
        <f>ROUND($E$7*F8%,0)</f>
        <v>#REF!</v>
      </c>
      <c r="I8" s="626"/>
      <c r="J8" s="626" t="e">
        <f>E8-H8</f>
        <v>#REF!</v>
      </c>
      <c r="K8" s="626"/>
      <c r="L8" s="626"/>
      <c r="M8" s="632" t="e">
        <f aca="true" t="shared" si="0" ref="M8:M21">ROUND(H8*100/E8,2)</f>
        <v>#REF!</v>
      </c>
      <c r="N8" s="632"/>
      <c r="O8" s="45">
        <v>30</v>
      </c>
    </row>
    <row r="9" spans="1:15" ht="23.25">
      <c r="A9" s="44">
        <v>2</v>
      </c>
      <c r="B9" s="621">
        <v>1000000</v>
      </c>
      <c r="C9" s="621"/>
      <c r="D9" s="39" t="e">
        <f>ROUND(B9*(IF(B9&lt;500000,#REF!,IF(B9&lt;30000000,#REF!,IF(B9&lt;150000000,#REF!,IF(B9&gt;150000000,#REF!))))),0)</f>
        <v>#REF!</v>
      </c>
      <c r="E9" s="44" t="e">
        <f aca="true" t="shared" si="1" ref="E9:E22">D9+J8</f>
        <v>#REF!</v>
      </c>
      <c r="F9" s="627" t="e">
        <f aca="true" t="shared" si="2" ref="F9:F21">ROUND(E9*0.8*100/$E$7,2)</f>
        <v>#REF!</v>
      </c>
      <c r="G9" s="628"/>
      <c r="H9" s="626" t="e">
        <f aca="true" t="shared" si="3" ref="H9:H21">ROUND($E$7*F9%,0)</f>
        <v>#REF!</v>
      </c>
      <c r="I9" s="626"/>
      <c r="J9" s="626" t="e">
        <f aca="true" t="shared" si="4" ref="J9:J21">E9-H9</f>
        <v>#REF!</v>
      </c>
      <c r="K9" s="626"/>
      <c r="L9" s="626"/>
      <c r="M9" s="632" t="e">
        <f t="shared" si="0"/>
        <v>#REF!</v>
      </c>
      <c r="N9" s="632"/>
      <c r="O9" s="45">
        <v>30</v>
      </c>
    </row>
    <row r="10" spans="1:15" ht="23.25">
      <c r="A10" s="44">
        <v>3</v>
      </c>
      <c r="B10" s="621">
        <v>1000000</v>
      </c>
      <c r="C10" s="621"/>
      <c r="D10" s="39" t="e">
        <f>ROUND(B10*(IF(B10&lt;500000,#REF!,IF(B10&lt;30000000,#REF!,IF(B10&lt;150000000,#REF!,IF(B10&gt;150000000,#REF!))))),0)</f>
        <v>#REF!</v>
      </c>
      <c r="E10" s="44" t="e">
        <f t="shared" si="1"/>
        <v>#REF!</v>
      </c>
      <c r="F10" s="627" t="e">
        <f t="shared" si="2"/>
        <v>#REF!</v>
      </c>
      <c r="G10" s="628"/>
      <c r="H10" s="626" t="e">
        <f t="shared" si="3"/>
        <v>#REF!</v>
      </c>
      <c r="I10" s="626"/>
      <c r="J10" s="626" t="e">
        <f t="shared" si="4"/>
        <v>#REF!</v>
      </c>
      <c r="K10" s="626"/>
      <c r="L10" s="626"/>
      <c r="M10" s="632" t="e">
        <f t="shared" si="0"/>
        <v>#REF!</v>
      </c>
      <c r="N10" s="632"/>
      <c r="O10" s="45">
        <v>30</v>
      </c>
    </row>
    <row r="11" spans="1:15" ht="23.25">
      <c r="A11" s="44">
        <v>4</v>
      </c>
      <c r="B11" s="621">
        <v>1000000</v>
      </c>
      <c r="C11" s="621"/>
      <c r="D11" s="39" t="e">
        <f>ROUND(B11*(IF(B11&lt;500000,#REF!,IF(B11&lt;30000000,#REF!,IF(B11&lt;150000000,#REF!,IF(B11&gt;150000000,#REF!))))),0)</f>
        <v>#REF!</v>
      </c>
      <c r="E11" s="44" t="e">
        <f t="shared" si="1"/>
        <v>#REF!</v>
      </c>
      <c r="F11" s="627" t="e">
        <f t="shared" si="2"/>
        <v>#REF!</v>
      </c>
      <c r="G11" s="628"/>
      <c r="H11" s="626" t="e">
        <f t="shared" si="3"/>
        <v>#REF!</v>
      </c>
      <c r="I11" s="626"/>
      <c r="J11" s="626" t="e">
        <f t="shared" si="4"/>
        <v>#REF!</v>
      </c>
      <c r="K11" s="626"/>
      <c r="L11" s="626"/>
      <c r="M11" s="632" t="e">
        <f t="shared" si="0"/>
        <v>#REF!</v>
      </c>
      <c r="N11" s="632"/>
      <c r="O11" s="45">
        <v>30</v>
      </c>
    </row>
    <row r="12" spans="1:15" ht="23.25">
      <c r="A12" s="44">
        <v>5</v>
      </c>
      <c r="B12" s="621">
        <v>1000000</v>
      </c>
      <c r="C12" s="621"/>
      <c r="D12" s="39" t="e">
        <f>ROUND(B12*(IF(B12&lt;500000,#REF!,IF(B12&lt;30000000,#REF!,IF(B12&lt;150000000,#REF!,IF(B12&gt;150000000,#REF!))))),0)</f>
        <v>#REF!</v>
      </c>
      <c r="E12" s="44" t="e">
        <f t="shared" si="1"/>
        <v>#REF!</v>
      </c>
      <c r="F12" s="627" t="e">
        <f t="shared" si="2"/>
        <v>#REF!</v>
      </c>
      <c r="G12" s="628"/>
      <c r="H12" s="626" t="e">
        <f t="shared" si="3"/>
        <v>#REF!</v>
      </c>
      <c r="I12" s="626"/>
      <c r="J12" s="626" t="e">
        <f t="shared" si="4"/>
        <v>#REF!</v>
      </c>
      <c r="K12" s="626"/>
      <c r="L12" s="626"/>
      <c r="M12" s="632" t="e">
        <f t="shared" si="0"/>
        <v>#REF!</v>
      </c>
      <c r="N12" s="632"/>
      <c r="O12" s="45">
        <v>30</v>
      </c>
    </row>
    <row r="13" spans="1:15" ht="23.25">
      <c r="A13" s="44">
        <v>6</v>
      </c>
      <c r="B13" s="621">
        <v>1000000</v>
      </c>
      <c r="C13" s="621"/>
      <c r="D13" s="39" t="e">
        <f>ROUND(B13*(IF(B13&lt;500000,#REF!,IF(B13&lt;30000000,#REF!,IF(B13&lt;150000000,#REF!,IF(B13&gt;150000000,#REF!))))),0)</f>
        <v>#REF!</v>
      </c>
      <c r="E13" s="44" t="e">
        <f t="shared" si="1"/>
        <v>#REF!</v>
      </c>
      <c r="F13" s="627" t="e">
        <f t="shared" si="2"/>
        <v>#REF!</v>
      </c>
      <c r="G13" s="628"/>
      <c r="H13" s="626" t="e">
        <f t="shared" si="3"/>
        <v>#REF!</v>
      </c>
      <c r="I13" s="626"/>
      <c r="J13" s="626" t="e">
        <f t="shared" si="4"/>
        <v>#REF!</v>
      </c>
      <c r="K13" s="626"/>
      <c r="L13" s="626"/>
      <c r="M13" s="632" t="e">
        <f t="shared" si="0"/>
        <v>#REF!</v>
      </c>
      <c r="N13" s="632"/>
      <c r="O13" s="45">
        <v>30</v>
      </c>
    </row>
    <row r="14" spans="1:15" ht="23.25">
      <c r="A14" s="44">
        <v>7</v>
      </c>
      <c r="B14" s="621">
        <v>1000000</v>
      </c>
      <c r="C14" s="621"/>
      <c r="D14" s="39" t="e">
        <f>ROUND(B14*(IF(B14&lt;500000,#REF!,IF(B14&lt;30000000,#REF!,IF(B14&lt;150000000,#REF!,IF(B14&gt;150000000,#REF!))))),0)</f>
        <v>#REF!</v>
      </c>
      <c r="E14" s="44" t="e">
        <f t="shared" si="1"/>
        <v>#REF!</v>
      </c>
      <c r="F14" s="627" t="e">
        <f t="shared" si="2"/>
        <v>#REF!</v>
      </c>
      <c r="G14" s="628"/>
      <c r="H14" s="626" t="e">
        <f t="shared" si="3"/>
        <v>#REF!</v>
      </c>
      <c r="I14" s="626"/>
      <c r="J14" s="626" t="e">
        <f t="shared" si="4"/>
        <v>#REF!</v>
      </c>
      <c r="K14" s="626"/>
      <c r="L14" s="626"/>
      <c r="M14" s="632" t="e">
        <f t="shared" si="0"/>
        <v>#REF!</v>
      </c>
      <c r="N14" s="632"/>
      <c r="O14" s="45">
        <v>30</v>
      </c>
    </row>
    <row r="15" spans="1:15" ht="23.25">
      <c r="A15" s="44">
        <v>8</v>
      </c>
      <c r="B15" s="621">
        <v>1000000</v>
      </c>
      <c r="C15" s="621"/>
      <c r="D15" s="39" t="e">
        <f>ROUND(B15*(IF(B15&lt;500000,#REF!,IF(B15&lt;30000000,#REF!,IF(B15&lt;150000000,#REF!,IF(B15&gt;150000000,#REF!))))),0)</f>
        <v>#REF!</v>
      </c>
      <c r="E15" s="44" t="e">
        <f t="shared" si="1"/>
        <v>#REF!</v>
      </c>
      <c r="F15" s="627" t="e">
        <f t="shared" si="2"/>
        <v>#REF!</v>
      </c>
      <c r="G15" s="628"/>
      <c r="H15" s="626" t="e">
        <f t="shared" si="3"/>
        <v>#REF!</v>
      </c>
      <c r="I15" s="626"/>
      <c r="J15" s="626" t="e">
        <f t="shared" si="4"/>
        <v>#REF!</v>
      </c>
      <c r="K15" s="626"/>
      <c r="L15" s="626"/>
      <c r="M15" s="632" t="e">
        <f t="shared" si="0"/>
        <v>#REF!</v>
      </c>
      <c r="N15" s="632"/>
      <c r="O15" s="45">
        <v>30</v>
      </c>
    </row>
    <row r="16" spans="1:15" ht="23.25">
      <c r="A16" s="44">
        <v>9</v>
      </c>
      <c r="B16" s="621">
        <v>1000000</v>
      </c>
      <c r="C16" s="621"/>
      <c r="D16" s="39" t="e">
        <f>ROUND(B16*(IF(B16&lt;500000,#REF!,IF(B16&lt;30000000,#REF!,IF(B16&lt;150000000,#REF!,IF(B16&gt;150000000,#REF!))))),0)</f>
        <v>#REF!</v>
      </c>
      <c r="E16" s="44" t="e">
        <f t="shared" si="1"/>
        <v>#REF!</v>
      </c>
      <c r="F16" s="627" t="e">
        <f t="shared" si="2"/>
        <v>#REF!</v>
      </c>
      <c r="G16" s="628"/>
      <c r="H16" s="626" t="e">
        <f t="shared" si="3"/>
        <v>#REF!</v>
      </c>
      <c r="I16" s="626"/>
      <c r="J16" s="626" t="e">
        <f t="shared" si="4"/>
        <v>#REF!</v>
      </c>
      <c r="K16" s="626"/>
      <c r="L16" s="626"/>
      <c r="M16" s="632" t="e">
        <f t="shared" si="0"/>
        <v>#REF!</v>
      </c>
      <c r="N16" s="632"/>
      <c r="O16" s="45">
        <v>30</v>
      </c>
    </row>
    <row r="17" spans="1:15" ht="23.25">
      <c r="A17" s="44">
        <v>10</v>
      </c>
      <c r="B17" s="621">
        <v>1000000</v>
      </c>
      <c r="C17" s="621"/>
      <c r="D17" s="39" t="e">
        <f>ROUND(B17*(IF(B17&lt;500000,#REF!,IF(B17&lt;30000000,#REF!,IF(B17&lt;150000000,#REF!,IF(B17&gt;150000000,#REF!))))),0)</f>
        <v>#REF!</v>
      </c>
      <c r="E17" s="44" t="e">
        <f t="shared" si="1"/>
        <v>#REF!</v>
      </c>
      <c r="F17" s="627" t="e">
        <f t="shared" si="2"/>
        <v>#REF!</v>
      </c>
      <c r="G17" s="628"/>
      <c r="H17" s="626" t="e">
        <f t="shared" si="3"/>
        <v>#REF!</v>
      </c>
      <c r="I17" s="626"/>
      <c r="J17" s="626" t="e">
        <f t="shared" si="4"/>
        <v>#REF!</v>
      </c>
      <c r="K17" s="626"/>
      <c r="L17" s="626"/>
      <c r="M17" s="632" t="e">
        <f t="shared" si="0"/>
        <v>#REF!</v>
      </c>
      <c r="N17" s="632"/>
      <c r="O17" s="45">
        <v>30</v>
      </c>
    </row>
    <row r="18" spans="1:15" ht="23.25">
      <c r="A18" s="44">
        <v>11</v>
      </c>
      <c r="B18" s="621">
        <v>1000000</v>
      </c>
      <c r="C18" s="621"/>
      <c r="D18" s="39" t="e">
        <f>ROUND(B18*(IF(B18&lt;500000,#REF!,IF(B18&lt;30000000,#REF!,IF(B18&lt;150000000,#REF!,IF(B18&gt;150000000,#REF!))))),0)</f>
        <v>#REF!</v>
      </c>
      <c r="E18" s="44" t="e">
        <f t="shared" si="1"/>
        <v>#REF!</v>
      </c>
      <c r="F18" s="627" t="e">
        <f t="shared" si="2"/>
        <v>#REF!</v>
      </c>
      <c r="G18" s="628"/>
      <c r="H18" s="626" t="e">
        <f t="shared" si="3"/>
        <v>#REF!</v>
      </c>
      <c r="I18" s="626"/>
      <c r="J18" s="626" t="e">
        <f t="shared" si="4"/>
        <v>#REF!</v>
      </c>
      <c r="K18" s="626"/>
      <c r="L18" s="626"/>
      <c r="M18" s="632" t="e">
        <f t="shared" si="0"/>
        <v>#REF!</v>
      </c>
      <c r="N18" s="632"/>
      <c r="O18" s="45">
        <v>30</v>
      </c>
    </row>
    <row r="19" spans="1:15" ht="23.25">
      <c r="A19" s="44">
        <v>12</v>
      </c>
      <c r="B19" s="621">
        <v>1000000</v>
      </c>
      <c r="C19" s="621"/>
      <c r="D19" s="39" t="e">
        <f>ROUND(B19*(IF(B19&lt;500000,#REF!,IF(B19&lt;30000000,#REF!,IF(B19&lt;150000000,#REF!,IF(B19&gt;150000000,#REF!))))),0)</f>
        <v>#REF!</v>
      </c>
      <c r="E19" s="44" t="e">
        <f t="shared" si="1"/>
        <v>#REF!</v>
      </c>
      <c r="F19" s="627" t="e">
        <f t="shared" si="2"/>
        <v>#REF!</v>
      </c>
      <c r="G19" s="628"/>
      <c r="H19" s="626" t="e">
        <f t="shared" si="3"/>
        <v>#REF!</v>
      </c>
      <c r="I19" s="626"/>
      <c r="J19" s="626" t="e">
        <f t="shared" si="4"/>
        <v>#REF!</v>
      </c>
      <c r="K19" s="626"/>
      <c r="L19" s="626"/>
      <c r="M19" s="632" t="e">
        <f t="shared" si="0"/>
        <v>#REF!</v>
      </c>
      <c r="N19" s="632"/>
      <c r="O19" s="45">
        <v>30</v>
      </c>
    </row>
    <row r="20" spans="1:15" ht="23.25">
      <c r="A20" s="44">
        <v>13</v>
      </c>
      <c r="B20" s="621">
        <v>1000000</v>
      </c>
      <c r="C20" s="621"/>
      <c r="D20" s="39" t="e">
        <f>ROUND(B20*(IF(B20&lt;500000,#REF!,IF(B20&lt;30000000,#REF!,IF(B20&lt;150000000,#REF!,IF(B20&gt;150000000,#REF!))))),0)</f>
        <v>#REF!</v>
      </c>
      <c r="E20" s="44" t="e">
        <f t="shared" si="1"/>
        <v>#REF!</v>
      </c>
      <c r="F20" s="627" t="e">
        <f t="shared" si="2"/>
        <v>#REF!</v>
      </c>
      <c r="G20" s="628"/>
      <c r="H20" s="626" t="e">
        <f t="shared" si="3"/>
        <v>#REF!</v>
      </c>
      <c r="I20" s="626"/>
      <c r="J20" s="626" t="e">
        <f t="shared" si="4"/>
        <v>#REF!</v>
      </c>
      <c r="K20" s="626"/>
      <c r="L20" s="626"/>
      <c r="M20" s="632" t="e">
        <f t="shared" si="0"/>
        <v>#REF!</v>
      </c>
      <c r="N20" s="632"/>
      <c r="O20" s="45">
        <v>30</v>
      </c>
    </row>
    <row r="21" spans="1:15" ht="23.25">
      <c r="A21" s="44">
        <v>14</v>
      </c>
      <c r="B21" s="621">
        <v>1000000</v>
      </c>
      <c r="C21" s="621"/>
      <c r="D21" s="39" t="e">
        <f>ROUND(B21*(IF(B21&lt;500000,#REF!,IF(B21&lt;30000000,#REF!,IF(B21&lt;150000000,#REF!,IF(B21&gt;150000000,#REF!))))),0)</f>
        <v>#REF!</v>
      </c>
      <c r="E21" s="44" t="e">
        <f t="shared" si="1"/>
        <v>#REF!</v>
      </c>
      <c r="F21" s="627" t="e">
        <f t="shared" si="2"/>
        <v>#REF!</v>
      </c>
      <c r="G21" s="628"/>
      <c r="H21" s="626" t="e">
        <f t="shared" si="3"/>
        <v>#REF!</v>
      </c>
      <c r="I21" s="626"/>
      <c r="J21" s="626" t="e">
        <f t="shared" si="4"/>
        <v>#REF!</v>
      </c>
      <c r="K21" s="626"/>
      <c r="L21" s="626"/>
      <c r="M21" s="632" t="e">
        <f t="shared" si="0"/>
        <v>#REF!</v>
      </c>
      <c r="N21" s="632"/>
      <c r="O21" s="45">
        <v>30</v>
      </c>
    </row>
    <row r="22" spans="1:15" ht="23.25">
      <c r="A22" s="44">
        <v>15</v>
      </c>
      <c r="B22" s="621">
        <v>1000000</v>
      </c>
      <c r="C22" s="621"/>
      <c r="D22" s="39" t="e">
        <f>ROUND(B22*(IF(B22&lt;500000,#REF!,IF(B22&lt;30000000,#REF!,IF(B22&lt;150000000,#REF!,IF(B22&gt;150000000,#REF!))))),0)</f>
        <v>#REF!</v>
      </c>
      <c r="E22" s="44" t="e">
        <f t="shared" si="1"/>
        <v>#REF!</v>
      </c>
      <c r="F22" s="638" t="e">
        <f>ROUND(E22*100/$E$7,2)</f>
        <v>#REF!</v>
      </c>
      <c r="G22" s="638"/>
      <c r="H22" s="626" t="e">
        <f>ROUND($E$7*F22%,0)</f>
        <v>#REF!</v>
      </c>
      <c r="I22" s="626"/>
      <c r="J22" s="626" t="e">
        <f>E22-H22</f>
        <v>#REF!</v>
      </c>
      <c r="K22" s="626"/>
      <c r="L22" s="626"/>
      <c r="M22" s="632" t="e">
        <f>ROUND(H22*100/E22,2)</f>
        <v>#REF!</v>
      </c>
      <c r="N22" s="632"/>
      <c r="O22" s="45">
        <v>30</v>
      </c>
    </row>
    <row r="23" spans="1:15" ht="21.75">
      <c r="A23" s="3"/>
      <c r="B23" s="631"/>
      <c r="C23" s="631"/>
      <c r="D23" s="3"/>
      <c r="E23" s="3"/>
      <c r="F23" s="631"/>
      <c r="G23" s="631"/>
      <c r="H23" s="626"/>
      <c r="I23" s="626"/>
      <c r="J23" s="626"/>
      <c r="K23" s="626"/>
      <c r="L23" s="626"/>
      <c r="M23" s="632"/>
      <c r="N23" s="632"/>
      <c r="O23" s="3"/>
    </row>
    <row r="24" spans="1:15" ht="21.75">
      <c r="A24" s="3"/>
      <c r="B24" s="631"/>
      <c r="C24" s="631"/>
      <c r="D24" s="3"/>
      <c r="E24" s="3"/>
      <c r="F24" s="631"/>
      <c r="G24" s="631"/>
      <c r="H24" s="626"/>
      <c r="I24" s="626"/>
      <c r="J24" s="626"/>
      <c r="K24" s="626"/>
      <c r="L24" s="626"/>
      <c r="M24" s="632"/>
      <c r="N24" s="632"/>
      <c r="O24" s="3"/>
    </row>
    <row r="25" spans="1:15" ht="21.75">
      <c r="A25" s="3"/>
      <c r="B25" s="631"/>
      <c r="C25" s="631"/>
      <c r="D25" s="3"/>
      <c r="E25" s="3"/>
      <c r="F25" s="631"/>
      <c r="G25" s="631"/>
      <c r="H25" s="626"/>
      <c r="I25" s="626"/>
      <c r="J25" s="626"/>
      <c r="K25" s="626"/>
      <c r="L25" s="626"/>
      <c r="M25" s="632"/>
      <c r="N25" s="632"/>
      <c r="O25" s="3"/>
    </row>
    <row r="26" spans="1:15" ht="21.75">
      <c r="A26" s="3"/>
      <c r="B26" s="631"/>
      <c r="C26" s="631"/>
      <c r="D26" s="3"/>
      <c r="E26" s="3"/>
      <c r="F26" s="631"/>
      <c r="G26" s="631"/>
      <c r="H26" s="626"/>
      <c r="I26" s="626"/>
      <c r="J26" s="626"/>
      <c r="K26" s="626"/>
      <c r="L26" s="626"/>
      <c r="M26" s="632"/>
      <c r="N26" s="632"/>
      <c r="O26" s="3"/>
    </row>
    <row r="27" spans="1:15" ht="21.75">
      <c r="A27" s="3"/>
      <c r="B27" s="631"/>
      <c r="C27" s="631"/>
      <c r="D27" s="3"/>
      <c r="E27" s="3"/>
      <c r="F27" s="631"/>
      <c r="G27" s="631"/>
      <c r="H27" s="626"/>
      <c r="I27" s="626"/>
      <c r="J27" s="626"/>
      <c r="K27" s="626"/>
      <c r="L27" s="626"/>
      <c r="M27" s="632"/>
      <c r="N27" s="632"/>
      <c r="O27" s="3"/>
    </row>
    <row r="28" spans="1:15" ht="21.75">
      <c r="A28" s="3"/>
      <c r="B28" s="631"/>
      <c r="C28" s="631"/>
      <c r="D28" s="3"/>
      <c r="E28" s="3"/>
      <c r="F28" s="631"/>
      <c r="G28" s="631"/>
      <c r="H28" s="626"/>
      <c r="I28" s="626"/>
      <c r="J28" s="626"/>
      <c r="K28" s="626"/>
      <c r="L28" s="626"/>
      <c r="M28" s="632"/>
      <c r="N28" s="632"/>
      <c r="O28" s="3"/>
    </row>
    <row r="29" spans="1:15" ht="21.75">
      <c r="A29" s="3"/>
      <c r="B29" s="631"/>
      <c r="C29" s="631"/>
      <c r="D29" s="3"/>
      <c r="E29" s="3"/>
      <c r="F29" s="631"/>
      <c r="G29" s="631"/>
      <c r="H29" s="626"/>
      <c r="I29" s="626"/>
      <c r="J29" s="626"/>
      <c r="K29" s="626"/>
      <c r="L29" s="626"/>
      <c r="M29" s="632"/>
      <c r="N29" s="632"/>
      <c r="O29" s="3"/>
    </row>
    <row r="30" spans="1:15" ht="21.75">
      <c r="A30" s="3"/>
      <c r="B30" s="631"/>
      <c r="C30" s="631"/>
      <c r="D30" s="3"/>
      <c r="E30" s="3"/>
      <c r="F30" s="631"/>
      <c r="G30" s="631"/>
      <c r="H30" s="626"/>
      <c r="I30" s="626"/>
      <c r="J30" s="626"/>
      <c r="K30" s="626"/>
      <c r="L30" s="626"/>
      <c r="M30" s="632"/>
      <c r="N30" s="632"/>
      <c r="O30" s="3"/>
    </row>
    <row r="31" spans="1:15" ht="21.75">
      <c r="A31" s="3"/>
      <c r="B31" s="631"/>
      <c r="C31" s="631"/>
      <c r="D31" s="3"/>
      <c r="E31" s="3"/>
      <c r="F31" s="631"/>
      <c r="G31" s="631"/>
      <c r="H31" s="626"/>
      <c r="I31" s="626"/>
      <c r="J31" s="626"/>
      <c r="K31" s="626"/>
      <c r="L31" s="626"/>
      <c r="M31" s="632"/>
      <c r="N31" s="632"/>
      <c r="O31" s="3"/>
    </row>
    <row r="32" spans="1:15" ht="21.75">
      <c r="A32" s="3"/>
      <c r="B32" s="631"/>
      <c r="C32" s="631"/>
      <c r="D32" s="3"/>
      <c r="E32" s="3"/>
      <c r="F32" s="631"/>
      <c r="G32" s="631"/>
      <c r="H32" s="626"/>
      <c r="I32" s="626"/>
      <c r="J32" s="626"/>
      <c r="K32" s="626"/>
      <c r="L32" s="626"/>
      <c r="M32" s="632"/>
      <c r="N32" s="632"/>
      <c r="O32" s="3"/>
    </row>
    <row r="33" spans="1:15" ht="21.75">
      <c r="A33" s="18"/>
      <c r="B33" s="637"/>
      <c r="C33" s="637"/>
      <c r="D33" s="18"/>
      <c r="E33" s="18"/>
      <c r="F33" s="637"/>
      <c r="G33" s="637"/>
      <c r="H33" s="639"/>
      <c r="I33" s="639"/>
      <c r="J33" s="639"/>
      <c r="K33" s="639"/>
      <c r="L33" s="639"/>
      <c r="M33" s="643"/>
      <c r="N33" s="643"/>
      <c r="O33" s="18"/>
    </row>
    <row r="34" spans="1:15" ht="21.75">
      <c r="A34" s="47" t="s">
        <v>561</v>
      </c>
      <c r="B34" s="633">
        <f>SUM(B8:B33)</f>
        <v>15000000</v>
      </c>
      <c r="C34" s="633"/>
      <c r="D34" s="46" t="e">
        <f>SUM(D8:D33)</f>
        <v>#REF!</v>
      </c>
      <c r="E34" s="46" t="e">
        <f>SUM(E8:E33)</f>
        <v>#REF!</v>
      </c>
      <c r="F34" s="635" t="e">
        <f>SUM(F8:F33)</f>
        <v>#REF!</v>
      </c>
      <c r="G34" s="636"/>
      <c r="H34" s="641" t="e">
        <f>SUM(H8:H33)</f>
        <v>#REF!</v>
      </c>
      <c r="I34" s="641"/>
      <c r="J34" s="641" t="e">
        <f>SUM(J8:J33)</f>
        <v>#REF!</v>
      </c>
      <c r="K34" s="641"/>
      <c r="L34" s="641"/>
      <c r="M34" s="644"/>
      <c r="N34" s="644"/>
      <c r="O34" s="48">
        <f>SUM(O8:O33)</f>
        <v>450</v>
      </c>
    </row>
  </sheetData>
  <sheetProtection/>
  <mergeCells count="154">
    <mergeCell ref="J27:L27"/>
    <mergeCell ref="J28:L28"/>
    <mergeCell ref="J34:L34"/>
    <mergeCell ref="J30:L30"/>
    <mergeCell ref="J31:L31"/>
    <mergeCell ref="J32:L32"/>
    <mergeCell ref="J33:L33"/>
    <mergeCell ref="M34:N34"/>
    <mergeCell ref="J23:L23"/>
    <mergeCell ref="J24:L24"/>
    <mergeCell ref="J13:L13"/>
    <mergeCell ref="J14:L14"/>
    <mergeCell ref="J15:L15"/>
    <mergeCell ref="J16:L16"/>
    <mergeCell ref="J17:L17"/>
    <mergeCell ref="J18:L18"/>
    <mergeCell ref="M26:N26"/>
    <mergeCell ref="M31:N31"/>
    <mergeCell ref="J10:L10"/>
    <mergeCell ref="J11:L11"/>
    <mergeCell ref="M19:N19"/>
    <mergeCell ref="M20:N20"/>
    <mergeCell ref="M21:N21"/>
    <mergeCell ref="M22:N22"/>
    <mergeCell ref="J25:L25"/>
    <mergeCell ref="J26:L26"/>
    <mergeCell ref="M27:N27"/>
    <mergeCell ref="M32:N32"/>
    <mergeCell ref="M33:N33"/>
    <mergeCell ref="J20:L20"/>
    <mergeCell ref="J21:L21"/>
    <mergeCell ref="J22:L22"/>
    <mergeCell ref="J29:L29"/>
    <mergeCell ref="M29:N29"/>
    <mergeCell ref="M30:N30"/>
    <mergeCell ref="M25:N25"/>
    <mergeCell ref="M23:N23"/>
    <mergeCell ref="M24:N24"/>
    <mergeCell ref="M17:N17"/>
    <mergeCell ref="M18:N18"/>
    <mergeCell ref="M14:N14"/>
    <mergeCell ref="M15:N15"/>
    <mergeCell ref="M16:N16"/>
    <mergeCell ref="H34:I34"/>
    <mergeCell ref="M6:N6"/>
    <mergeCell ref="M7:N7"/>
    <mergeCell ref="M8:N8"/>
    <mergeCell ref="M9:N9"/>
    <mergeCell ref="M10:N10"/>
    <mergeCell ref="M11:N11"/>
    <mergeCell ref="H31:I31"/>
    <mergeCell ref="H32:I32"/>
    <mergeCell ref="M28:N28"/>
    <mergeCell ref="F28:G28"/>
    <mergeCell ref="F29:G29"/>
    <mergeCell ref="F30:G30"/>
    <mergeCell ref="H29:I29"/>
    <mergeCell ref="H30:I30"/>
    <mergeCell ref="F31:G31"/>
    <mergeCell ref="H21:I21"/>
    <mergeCell ref="H22:I22"/>
    <mergeCell ref="H6:I6"/>
    <mergeCell ref="H7:I7"/>
    <mergeCell ref="H8:I8"/>
    <mergeCell ref="H9:I9"/>
    <mergeCell ref="F25:G25"/>
    <mergeCell ref="F24:G24"/>
    <mergeCell ref="H33:I33"/>
    <mergeCell ref="H24:I24"/>
    <mergeCell ref="H26:I26"/>
    <mergeCell ref="F23:G23"/>
    <mergeCell ref="H27:I27"/>
    <mergeCell ref="H28:I28"/>
    <mergeCell ref="F32:G32"/>
    <mergeCell ref="F27:G27"/>
    <mergeCell ref="B33:C33"/>
    <mergeCell ref="F21:G21"/>
    <mergeCell ref="F22:G22"/>
    <mergeCell ref="B24:C24"/>
    <mergeCell ref="B26:C26"/>
    <mergeCell ref="F26:G26"/>
    <mergeCell ref="B21:C21"/>
    <mergeCell ref="B29:C29"/>
    <mergeCell ref="B30:C30"/>
    <mergeCell ref="B25:C25"/>
    <mergeCell ref="B34:C34"/>
    <mergeCell ref="F6:G6"/>
    <mergeCell ref="F7:G7"/>
    <mergeCell ref="F8:G8"/>
    <mergeCell ref="F9:G9"/>
    <mergeCell ref="F10:G10"/>
    <mergeCell ref="B20:C20"/>
    <mergeCell ref="F34:G34"/>
    <mergeCell ref="F33:G33"/>
    <mergeCell ref="B31:C31"/>
    <mergeCell ref="B12:C12"/>
    <mergeCell ref="F12:G12"/>
    <mergeCell ref="B28:C28"/>
    <mergeCell ref="B22:C22"/>
    <mergeCell ref="B27:C27"/>
    <mergeCell ref="B23:C23"/>
    <mergeCell ref="F19:G19"/>
    <mergeCell ref="B17:C17"/>
    <mergeCell ref="B18:C18"/>
    <mergeCell ref="B15:C15"/>
    <mergeCell ref="B16:C16"/>
    <mergeCell ref="H23:I23"/>
    <mergeCell ref="B14:C14"/>
    <mergeCell ref="H25:I25"/>
    <mergeCell ref="F20:G20"/>
    <mergeCell ref="F17:G17"/>
    <mergeCell ref="F18:G18"/>
    <mergeCell ref="H14:I14"/>
    <mergeCell ref="H15:I15"/>
    <mergeCell ref="H20:I20"/>
    <mergeCell ref="M12:N12"/>
    <mergeCell ref="B19:C19"/>
    <mergeCell ref="H16:I16"/>
    <mergeCell ref="H17:I17"/>
    <mergeCell ref="H19:I19"/>
    <mergeCell ref="H18:I18"/>
    <mergeCell ref="J19:L19"/>
    <mergeCell ref="F16:G16"/>
    <mergeCell ref="M13:N13"/>
    <mergeCell ref="F13:G13"/>
    <mergeCell ref="F5:O5"/>
    <mergeCell ref="I4:O4"/>
    <mergeCell ref="A2:O2"/>
    <mergeCell ref="B32:C32"/>
    <mergeCell ref="J12:L12"/>
    <mergeCell ref="H12:I12"/>
    <mergeCell ref="B13:C13"/>
    <mergeCell ref="H13:I13"/>
    <mergeCell ref="F14:G14"/>
    <mergeCell ref="F15:G15"/>
    <mergeCell ref="B10:C10"/>
    <mergeCell ref="B11:C11"/>
    <mergeCell ref="J7:L7"/>
    <mergeCell ref="H11:I11"/>
    <mergeCell ref="B9:C9"/>
    <mergeCell ref="J8:L8"/>
    <mergeCell ref="J9:L9"/>
    <mergeCell ref="F11:G11"/>
    <mergeCell ref="H10:I10"/>
    <mergeCell ref="A1:B1"/>
    <mergeCell ref="B6:C6"/>
    <mergeCell ref="B7:C7"/>
    <mergeCell ref="B8:C8"/>
    <mergeCell ref="C1:O1"/>
    <mergeCell ref="J6:L6"/>
    <mergeCell ref="A3:O3"/>
    <mergeCell ref="A4:H4"/>
    <mergeCell ref="A5:B5"/>
    <mergeCell ref="C5:E5"/>
  </mergeCell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L96"/>
  <sheetViews>
    <sheetView view="pageBreakPreview" zoomScale="80" zoomScaleSheetLayoutView="80" workbookViewId="0" topLeftCell="A61">
      <selection activeCell="F95" sqref="F95:I95"/>
    </sheetView>
  </sheetViews>
  <sheetFormatPr defaultColWidth="9.140625" defaultRowHeight="18" customHeight="1"/>
  <cols>
    <col min="1" max="1" width="7.57421875" style="394" customWidth="1"/>
    <col min="2" max="2" width="45.8515625" style="395" customWidth="1"/>
    <col min="3" max="3" width="11.28125" style="396" customWidth="1"/>
    <col min="4" max="4" width="9.57421875" style="397" customWidth="1"/>
    <col min="5" max="5" width="12.7109375" style="406" customWidth="1"/>
    <col min="6" max="6" width="15.421875" style="397" customWidth="1"/>
    <col min="7" max="7" width="14.57421875" style="413" customWidth="1"/>
    <col min="8" max="8" width="14.140625" style="397" customWidth="1"/>
    <col min="9" max="9" width="16.00390625" style="397" customWidth="1"/>
    <col min="10" max="10" width="9.421875" style="397" customWidth="1"/>
    <col min="11" max="11" width="12.00390625" style="348" customWidth="1"/>
    <col min="12" max="12" width="11.57421875" style="348" bestFit="1" customWidth="1"/>
    <col min="13" max="16384" width="9.140625" style="348" customWidth="1"/>
  </cols>
  <sheetData>
    <row r="1" spans="1:10" s="343" customFormat="1" ht="18" customHeight="1">
      <c r="A1" s="645" t="s">
        <v>917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10" ht="18" customHeight="1">
      <c r="A2" s="647" t="s">
        <v>854</v>
      </c>
      <c r="B2" s="647"/>
      <c r="C2" s="647"/>
      <c r="D2" s="345" t="s">
        <v>855</v>
      </c>
      <c r="E2" s="530" t="s">
        <v>873</v>
      </c>
      <c r="F2" s="346"/>
      <c r="G2" s="407"/>
      <c r="H2" s="346"/>
      <c r="I2" s="347" t="s">
        <v>503</v>
      </c>
      <c r="J2" s="348"/>
    </row>
    <row r="3" spans="1:10" ht="18" customHeight="1">
      <c r="A3" s="646" t="s">
        <v>573</v>
      </c>
      <c r="B3" s="646"/>
      <c r="C3" s="646"/>
      <c r="D3" s="649" t="s">
        <v>495</v>
      </c>
      <c r="E3" s="649"/>
      <c r="F3" s="651"/>
      <c r="G3" s="652"/>
      <c r="H3" s="344"/>
      <c r="I3" s="650"/>
      <c r="J3" s="650"/>
    </row>
    <row r="4" spans="1:10" ht="18" customHeight="1" thickBot="1">
      <c r="A4" s="648" t="s">
        <v>856</v>
      </c>
      <c r="B4" s="648"/>
      <c r="C4" s="648"/>
      <c r="D4" s="648"/>
      <c r="E4" s="648"/>
      <c r="F4" s="648"/>
      <c r="G4" s="648"/>
      <c r="H4" s="648"/>
      <c r="I4" s="648"/>
      <c r="J4" s="648"/>
    </row>
    <row r="5" spans="1:10" ht="18" customHeight="1" thickTop="1">
      <c r="A5" s="655" t="s">
        <v>496</v>
      </c>
      <c r="B5" s="657" t="s">
        <v>497</v>
      </c>
      <c r="C5" s="662" t="s">
        <v>498</v>
      </c>
      <c r="D5" s="661" t="s">
        <v>499</v>
      </c>
      <c r="E5" s="661" t="s">
        <v>504</v>
      </c>
      <c r="F5" s="661"/>
      <c r="G5" s="661" t="s">
        <v>505</v>
      </c>
      <c r="H5" s="661"/>
      <c r="I5" s="659" t="s">
        <v>506</v>
      </c>
      <c r="J5" s="653" t="s">
        <v>502</v>
      </c>
    </row>
    <row r="6" spans="1:10" ht="18" customHeight="1">
      <c r="A6" s="656"/>
      <c r="B6" s="658"/>
      <c r="C6" s="663"/>
      <c r="D6" s="660"/>
      <c r="E6" s="400" t="s">
        <v>500</v>
      </c>
      <c r="F6" s="342" t="s">
        <v>501</v>
      </c>
      <c r="G6" s="408" t="s">
        <v>500</v>
      </c>
      <c r="H6" s="342" t="s">
        <v>501</v>
      </c>
      <c r="I6" s="660"/>
      <c r="J6" s="654"/>
    </row>
    <row r="7" spans="1:10" s="356" customFormat="1" ht="18" customHeight="1">
      <c r="A7" s="349"/>
      <c r="B7" s="350" t="s">
        <v>57</v>
      </c>
      <c r="C7" s="351"/>
      <c r="D7" s="352"/>
      <c r="E7" s="401"/>
      <c r="F7" s="353"/>
      <c r="G7" s="409"/>
      <c r="H7" s="353"/>
      <c r="I7" s="354"/>
      <c r="J7" s="355"/>
    </row>
    <row r="8" spans="1:10" s="498" customFormat="1" ht="21" customHeight="1">
      <c r="A8" s="506"/>
      <c r="B8" s="505" t="str">
        <f>B32</f>
        <v>หมวดงานรื้อถอน </v>
      </c>
      <c r="C8" s="504"/>
      <c r="D8" s="503"/>
      <c r="E8" s="502"/>
      <c r="F8" s="501"/>
      <c r="G8" s="500"/>
      <c r="H8" s="501"/>
      <c r="I8" s="501"/>
      <c r="J8" s="499"/>
    </row>
    <row r="9" spans="1:10" s="498" customFormat="1" ht="18" customHeight="1">
      <c r="A9" s="506">
        <v>1</v>
      </c>
      <c r="B9" s="505" t="str">
        <f>B33</f>
        <v>งานรื้อถอน</v>
      </c>
      <c r="C9" s="504"/>
      <c r="D9" s="503" t="s">
        <v>561</v>
      </c>
      <c r="E9" s="502"/>
      <c r="F9" s="497"/>
      <c r="G9" s="496"/>
      <c r="H9" s="497"/>
      <c r="I9" s="497"/>
      <c r="J9" s="499"/>
    </row>
    <row r="10" spans="1:10" s="498" customFormat="1" ht="18" customHeight="1">
      <c r="A10" s="506"/>
      <c r="B10" s="505"/>
      <c r="C10" s="504"/>
      <c r="D10" s="503"/>
      <c r="E10" s="502"/>
      <c r="F10" s="497"/>
      <c r="G10" s="496"/>
      <c r="H10" s="497"/>
      <c r="I10" s="497"/>
      <c r="J10" s="499"/>
    </row>
    <row r="11" spans="1:10" s="498" customFormat="1" ht="18" customHeight="1">
      <c r="A11" s="495"/>
      <c r="B11" s="563" t="s">
        <v>853</v>
      </c>
      <c r="C11" s="504"/>
      <c r="D11" s="503"/>
      <c r="E11" s="502"/>
      <c r="F11" s="497"/>
      <c r="G11" s="496"/>
      <c r="H11" s="497"/>
      <c r="I11" s="497"/>
      <c r="J11" s="499"/>
    </row>
    <row r="12" spans="1:10" s="498" customFormat="1" ht="18" customHeight="1">
      <c r="A12" s="506">
        <v>2</v>
      </c>
      <c r="B12" s="563" t="str">
        <f>B55</f>
        <v>งานวัสดุมุงหลังคา</v>
      </c>
      <c r="C12" s="504"/>
      <c r="D12" s="503" t="s">
        <v>561</v>
      </c>
      <c r="E12" s="502"/>
      <c r="F12" s="497"/>
      <c r="G12" s="496"/>
      <c r="H12" s="497"/>
      <c r="I12" s="497"/>
      <c r="J12" s="499"/>
    </row>
    <row r="13" spans="1:10" s="498" customFormat="1" ht="18" customHeight="1">
      <c r="A13" s="506"/>
      <c r="B13" s="563"/>
      <c r="C13" s="504"/>
      <c r="D13" s="503"/>
      <c r="E13" s="502"/>
      <c r="F13" s="497"/>
      <c r="G13" s="496"/>
      <c r="H13" s="497"/>
      <c r="I13" s="497"/>
      <c r="J13" s="499"/>
    </row>
    <row r="14" spans="1:10" s="498" customFormat="1" ht="18" customHeight="1">
      <c r="A14" s="506"/>
      <c r="B14" s="563" t="str">
        <f>B76</f>
        <v>หมวดงานซ่อมแซม</v>
      </c>
      <c r="C14" s="504"/>
      <c r="D14" s="503"/>
      <c r="E14" s="502"/>
      <c r="F14" s="497"/>
      <c r="G14" s="496"/>
      <c r="H14" s="497"/>
      <c r="I14" s="497"/>
      <c r="J14" s="499"/>
    </row>
    <row r="15" spans="1:10" s="498" customFormat="1" ht="18" customHeight="1">
      <c r="A15" s="506">
        <v>3</v>
      </c>
      <c r="B15" s="563" t="str">
        <f>B95</f>
        <v>รวมราคางานซ่อมแซมเสา</v>
      </c>
      <c r="C15" s="504"/>
      <c r="D15" s="503" t="s">
        <v>561</v>
      </c>
      <c r="E15" s="502"/>
      <c r="F15" s="497"/>
      <c r="G15" s="496"/>
      <c r="H15" s="497"/>
      <c r="I15" s="497"/>
      <c r="J15" s="499"/>
    </row>
    <row r="16" spans="1:10" s="498" customFormat="1" ht="18" customHeight="1">
      <c r="A16" s="506"/>
      <c r="B16" s="563"/>
      <c r="C16" s="504"/>
      <c r="D16" s="503"/>
      <c r="E16" s="502"/>
      <c r="F16" s="497"/>
      <c r="G16" s="496"/>
      <c r="H16" s="564"/>
      <c r="I16" s="497"/>
      <c r="J16" s="499"/>
    </row>
    <row r="17" spans="1:12" s="498" customFormat="1" ht="18" customHeight="1">
      <c r="A17" s="506"/>
      <c r="B17" s="563"/>
      <c r="C17" s="504"/>
      <c r="D17" s="503"/>
      <c r="E17" s="502"/>
      <c r="F17" s="497"/>
      <c r="G17" s="496"/>
      <c r="H17" s="564"/>
      <c r="I17" s="497"/>
      <c r="J17" s="499"/>
      <c r="L17" s="565"/>
    </row>
    <row r="18" spans="1:12" s="498" customFormat="1" ht="18" customHeight="1">
      <c r="A18" s="506"/>
      <c r="B18" s="563"/>
      <c r="C18" s="504"/>
      <c r="D18" s="503"/>
      <c r="E18" s="502"/>
      <c r="F18" s="497"/>
      <c r="G18" s="496"/>
      <c r="H18" s="564"/>
      <c r="I18" s="497"/>
      <c r="J18" s="499"/>
      <c r="L18" s="565"/>
    </row>
    <row r="19" spans="1:10" s="356" customFormat="1" ht="18" customHeight="1">
      <c r="A19" s="357"/>
      <c r="B19" s="362"/>
      <c r="C19" s="358"/>
      <c r="D19" s="359"/>
      <c r="E19" s="402"/>
      <c r="F19" s="516"/>
      <c r="G19" s="515"/>
      <c r="H19" s="514"/>
      <c r="I19" s="516"/>
      <c r="J19" s="361"/>
    </row>
    <row r="20" spans="1:10" s="356" customFormat="1" ht="18" customHeight="1">
      <c r="A20" s="357"/>
      <c r="B20" s="362"/>
      <c r="C20" s="358"/>
      <c r="D20" s="359"/>
      <c r="E20" s="402"/>
      <c r="F20" s="516"/>
      <c r="G20" s="515"/>
      <c r="H20" s="514"/>
      <c r="I20" s="516"/>
      <c r="J20" s="361"/>
    </row>
    <row r="21" spans="1:10" s="356" customFormat="1" ht="18" customHeight="1">
      <c r="A21" s="357"/>
      <c r="B21" s="362"/>
      <c r="C21" s="358"/>
      <c r="D21" s="359"/>
      <c r="E21" s="402"/>
      <c r="F21" s="516"/>
      <c r="G21" s="515"/>
      <c r="H21" s="514"/>
      <c r="I21" s="516"/>
      <c r="J21" s="361"/>
    </row>
    <row r="22" spans="1:10" s="356" customFormat="1" ht="18" customHeight="1">
      <c r="A22" s="429"/>
      <c r="B22" s="362"/>
      <c r="C22" s="358"/>
      <c r="D22" s="359"/>
      <c r="E22" s="402"/>
      <c r="F22" s="516"/>
      <c r="G22" s="515"/>
      <c r="H22" s="514"/>
      <c r="I22" s="514"/>
      <c r="J22" s="361"/>
    </row>
    <row r="23" spans="1:10" s="356" customFormat="1" ht="18" customHeight="1">
      <c r="A23" s="429"/>
      <c r="B23" s="362"/>
      <c r="C23" s="358"/>
      <c r="D23" s="359"/>
      <c r="E23" s="402"/>
      <c r="F23" s="516"/>
      <c r="G23" s="515"/>
      <c r="H23" s="514"/>
      <c r="I23" s="514"/>
      <c r="J23" s="361"/>
    </row>
    <row r="24" spans="1:10" s="356" customFormat="1" ht="18" customHeight="1">
      <c r="A24" s="429"/>
      <c r="B24" s="362"/>
      <c r="C24" s="358"/>
      <c r="D24" s="359"/>
      <c r="E24" s="402"/>
      <c r="F24" s="516"/>
      <c r="G24" s="515"/>
      <c r="H24" s="514"/>
      <c r="I24" s="514"/>
      <c r="J24" s="361"/>
    </row>
    <row r="25" spans="1:10" s="356" customFormat="1" ht="18" customHeight="1">
      <c r="A25" s="429"/>
      <c r="B25" s="362"/>
      <c r="C25" s="358"/>
      <c r="D25" s="359"/>
      <c r="E25" s="402"/>
      <c r="F25" s="516"/>
      <c r="G25" s="515"/>
      <c r="H25" s="516"/>
      <c r="I25" s="516"/>
      <c r="J25" s="361"/>
    </row>
    <row r="26" spans="1:10" s="356" customFormat="1" ht="18" customHeight="1">
      <c r="A26" s="357"/>
      <c r="B26" s="362"/>
      <c r="C26" s="358"/>
      <c r="D26" s="359"/>
      <c r="E26" s="402"/>
      <c r="F26" s="360"/>
      <c r="G26" s="409"/>
      <c r="H26" s="353"/>
      <c r="I26" s="354"/>
      <c r="J26" s="361"/>
    </row>
    <row r="27" spans="1:10" s="356" customFormat="1" ht="18" customHeight="1">
      <c r="A27" s="357"/>
      <c r="B27" s="362"/>
      <c r="C27" s="358"/>
      <c r="D27" s="359"/>
      <c r="E27" s="402"/>
      <c r="F27" s="360"/>
      <c r="G27" s="409"/>
      <c r="H27" s="353"/>
      <c r="I27" s="354"/>
      <c r="J27" s="361"/>
    </row>
    <row r="28" spans="1:10" s="356" customFormat="1" ht="18" customHeight="1">
      <c r="A28" s="357"/>
      <c r="B28" s="362"/>
      <c r="C28" s="358"/>
      <c r="D28" s="359"/>
      <c r="E28" s="402"/>
      <c r="F28" s="360"/>
      <c r="G28" s="410"/>
      <c r="H28" s="360"/>
      <c r="I28" s="363"/>
      <c r="J28" s="361"/>
    </row>
    <row r="29" spans="1:10" s="356" customFormat="1" ht="18" customHeight="1">
      <c r="A29" s="357"/>
      <c r="B29" s="362"/>
      <c r="C29" s="358"/>
      <c r="D29" s="359"/>
      <c r="E29" s="402"/>
      <c r="F29" s="360"/>
      <c r="G29" s="410"/>
      <c r="H29" s="360"/>
      <c r="I29" s="363"/>
      <c r="J29" s="361"/>
    </row>
    <row r="30" spans="1:10" s="356" customFormat="1" ht="18" customHeight="1">
      <c r="A30" s="357"/>
      <c r="B30" s="364"/>
      <c r="C30" s="365"/>
      <c r="D30" s="366"/>
      <c r="E30" s="403"/>
      <c r="F30" s="367"/>
      <c r="G30" s="411"/>
      <c r="H30" s="368"/>
      <c r="I30" s="369"/>
      <c r="J30" s="370"/>
    </row>
    <row r="31" spans="1:11" s="356" customFormat="1" ht="18" customHeight="1" thickBot="1">
      <c r="A31" s="371"/>
      <c r="B31" s="372" t="s">
        <v>309</v>
      </c>
      <c r="C31" s="373"/>
      <c r="D31" s="372"/>
      <c r="E31" s="404"/>
      <c r="F31" s="374"/>
      <c r="G31" s="412"/>
      <c r="H31" s="374"/>
      <c r="I31" s="375">
        <f>SUM(I9:I30)</f>
        <v>0</v>
      </c>
      <c r="J31" s="376"/>
      <c r="K31" s="425"/>
    </row>
    <row r="32" spans="1:11" s="377" customFormat="1" ht="20.25" customHeight="1" thickTop="1">
      <c r="A32" s="598">
        <v>1</v>
      </c>
      <c r="B32" s="566" t="s">
        <v>857</v>
      </c>
      <c r="C32" s="567"/>
      <c r="D32" s="568"/>
      <c r="E32" s="569"/>
      <c r="F32" s="570"/>
      <c r="G32" s="571"/>
      <c r="H32" s="570"/>
      <c r="I32" s="572"/>
      <c r="J32" s="379"/>
      <c r="K32" s="426"/>
    </row>
    <row r="33" spans="1:10" s="377" customFormat="1" ht="20.25" customHeight="1">
      <c r="A33" s="600">
        <v>1.1</v>
      </c>
      <c r="B33" s="385" t="s">
        <v>899</v>
      </c>
      <c r="C33" s="512"/>
      <c r="D33" s="529"/>
      <c r="E33" s="528"/>
      <c r="F33" s="527"/>
      <c r="G33" s="526"/>
      <c r="H33" s="527"/>
      <c r="I33" s="527"/>
      <c r="J33" s="384"/>
    </row>
    <row r="34" spans="1:11" s="377" customFormat="1" ht="20.25" customHeight="1">
      <c r="A34" s="599"/>
      <c r="B34" s="381" t="s">
        <v>919</v>
      </c>
      <c r="C34" s="511">
        <v>1530</v>
      </c>
      <c r="D34" s="523" t="s">
        <v>152</v>
      </c>
      <c r="E34" s="382"/>
      <c r="F34" s="420"/>
      <c r="G34" s="382"/>
      <c r="H34" s="418"/>
      <c r="I34" s="382"/>
      <c r="J34" s="508" t="s">
        <v>888</v>
      </c>
      <c r="K34" s="427"/>
    </row>
    <row r="35" spans="1:11" s="377" customFormat="1" ht="20.25" customHeight="1">
      <c r="A35" s="599"/>
      <c r="B35" s="381" t="s">
        <v>920</v>
      </c>
      <c r="C35" s="511">
        <v>6</v>
      </c>
      <c r="D35" s="523" t="s">
        <v>874</v>
      </c>
      <c r="E35" s="382"/>
      <c r="F35" s="420"/>
      <c r="G35" s="382"/>
      <c r="H35" s="418"/>
      <c r="I35" s="382"/>
      <c r="J35" s="508" t="s">
        <v>888</v>
      </c>
      <c r="K35" s="427"/>
    </row>
    <row r="36" spans="1:11" s="377" customFormat="1" ht="20.25" customHeight="1">
      <c r="A36" s="599"/>
      <c r="B36" s="381" t="s">
        <v>921</v>
      </c>
      <c r="C36" s="511">
        <v>1</v>
      </c>
      <c r="D36" s="523" t="s">
        <v>887</v>
      </c>
      <c r="E36" s="382"/>
      <c r="F36" s="420"/>
      <c r="G36" s="382"/>
      <c r="H36" s="418"/>
      <c r="I36" s="382"/>
      <c r="J36" s="384"/>
      <c r="K36" s="427"/>
    </row>
    <row r="37" spans="1:11" s="377" customFormat="1" ht="20.25" customHeight="1">
      <c r="A37" s="599"/>
      <c r="B37" s="381" t="s">
        <v>922</v>
      </c>
      <c r="C37" s="511">
        <v>290</v>
      </c>
      <c r="D37" s="523" t="s">
        <v>152</v>
      </c>
      <c r="E37" s="382"/>
      <c r="F37" s="420"/>
      <c r="G37" s="382"/>
      <c r="H37" s="418"/>
      <c r="I37" s="382"/>
      <c r="J37" s="508" t="s">
        <v>888</v>
      </c>
      <c r="K37" s="427"/>
    </row>
    <row r="38" spans="1:11" s="377" customFormat="1" ht="20.25" customHeight="1">
      <c r="A38" s="599"/>
      <c r="B38" s="381"/>
      <c r="C38" s="511"/>
      <c r="D38" s="523"/>
      <c r="E38" s="382"/>
      <c r="F38" s="420"/>
      <c r="G38" s="382"/>
      <c r="H38" s="418"/>
      <c r="I38" s="382"/>
      <c r="J38" s="384"/>
      <c r="K38" s="427"/>
    </row>
    <row r="39" spans="1:11" s="377" customFormat="1" ht="20.25" customHeight="1">
      <c r="A39" s="380"/>
      <c r="B39" s="381"/>
      <c r="C39" s="511"/>
      <c r="D39" s="523"/>
      <c r="E39" s="382"/>
      <c r="F39" s="420"/>
      <c r="G39" s="382"/>
      <c r="H39" s="418"/>
      <c r="I39" s="382"/>
      <c r="J39" s="384"/>
      <c r="K39" s="427"/>
    </row>
    <row r="40" spans="1:11" s="377" customFormat="1" ht="20.25" customHeight="1">
      <c r="A40" s="380"/>
      <c r="B40" s="381"/>
      <c r="C40" s="511"/>
      <c r="D40" s="523"/>
      <c r="E40" s="382"/>
      <c r="F40" s="383"/>
      <c r="G40" s="382"/>
      <c r="H40" s="382"/>
      <c r="I40" s="382"/>
      <c r="J40" s="384"/>
      <c r="K40" s="427"/>
    </row>
    <row r="41" spans="1:11" s="377" customFormat="1" ht="20.25" customHeight="1">
      <c r="A41" s="424"/>
      <c r="B41" s="414" t="s">
        <v>858</v>
      </c>
      <c r="C41" s="510"/>
      <c r="D41" s="522"/>
      <c r="E41" s="416"/>
      <c r="F41" s="415"/>
      <c r="G41" s="416"/>
      <c r="H41" s="416"/>
      <c r="I41" s="416"/>
      <c r="J41" s="384"/>
      <c r="K41" s="428"/>
    </row>
    <row r="42" spans="1:10" s="377" customFormat="1" ht="20.25" customHeight="1">
      <c r="A42" s="380"/>
      <c r="B42" s="381"/>
      <c r="C42" s="509"/>
      <c r="D42" s="523"/>
      <c r="E42" s="382"/>
      <c r="F42" s="383"/>
      <c r="G42" s="418"/>
      <c r="H42" s="382"/>
      <c r="I42" s="382"/>
      <c r="J42" s="384"/>
    </row>
    <row r="43" spans="1:10" s="377" customFormat="1" ht="20.25" customHeight="1">
      <c r="A43" s="380"/>
      <c r="B43" s="381"/>
      <c r="C43" s="509"/>
      <c r="D43" s="523"/>
      <c r="E43" s="382"/>
      <c r="F43" s="383"/>
      <c r="G43" s="418"/>
      <c r="H43" s="382"/>
      <c r="I43" s="382"/>
      <c r="J43" s="384"/>
    </row>
    <row r="44" spans="1:10" s="377" customFormat="1" ht="20.25" customHeight="1">
      <c r="A44" s="380"/>
      <c r="B44" s="381"/>
      <c r="C44" s="509"/>
      <c r="D44" s="523"/>
      <c r="E44" s="382"/>
      <c r="F44" s="383"/>
      <c r="G44" s="418"/>
      <c r="H44" s="382"/>
      <c r="I44" s="382"/>
      <c r="J44" s="384"/>
    </row>
    <row r="45" spans="1:10" s="377" customFormat="1" ht="20.25" customHeight="1">
      <c r="A45" s="380"/>
      <c r="B45" s="381"/>
      <c r="C45" s="509"/>
      <c r="D45" s="523"/>
      <c r="E45" s="382"/>
      <c r="F45" s="383"/>
      <c r="G45" s="418"/>
      <c r="H45" s="382"/>
      <c r="I45" s="382"/>
      <c r="J45" s="384"/>
    </row>
    <row r="46" spans="1:10" s="377" customFormat="1" ht="20.25" customHeight="1">
      <c r="A46" s="380"/>
      <c r="B46" s="381"/>
      <c r="C46" s="398"/>
      <c r="D46" s="523"/>
      <c r="E46" s="382"/>
      <c r="F46" s="383"/>
      <c r="G46" s="418"/>
      <c r="H46" s="382"/>
      <c r="I46" s="382"/>
      <c r="J46" s="384"/>
    </row>
    <row r="47" spans="1:10" s="377" customFormat="1" ht="20.25" customHeight="1">
      <c r="A47" s="380"/>
      <c r="B47" s="381"/>
      <c r="C47" s="398"/>
      <c r="D47" s="523"/>
      <c r="E47" s="382"/>
      <c r="F47" s="383"/>
      <c r="G47" s="418"/>
      <c r="H47" s="382"/>
      <c r="I47" s="382"/>
      <c r="J47" s="384"/>
    </row>
    <row r="48" spans="1:10" s="377" customFormat="1" ht="20.25" customHeight="1">
      <c r="A48" s="380"/>
      <c r="B48" s="381"/>
      <c r="C48" s="398"/>
      <c r="D48" s="523"/>
      <c r="E48" s="382"/>
      <c r="F48" s="383"/>
      <c r="G48" s="418"/>
      <c r="H48" s="382"/>
      <c r="I48" s="382"/>
      <c r="J48" s="384"/>
    </row>
    <row r="49" spans="1:10" s="377" customFormat="1" ht="20.25" customHeight="1">
      <c r="A49" s="380"/>
      <c r="B49" s="381"/>
      <c r="C49" s="398"/>
      <c r="D49" s="523"/>
      <c r="E49" s="382"/>
      <c r="F49" s="383"/>
      <c r="G49" s="418"/>
      <c r="H49" s="382"/>
      <c r="I49" s="382"/>
      <c r="J49" s="384"/>
    </row>
    <row r="50" spans="1:10" s="377" customFormat="1" ht="20.25" customHeight="1">
      <c r="A50" s="380"/>
      <c r="B50" s="381"/>
      <c r="C50" s="398"/>
      <c r="D50" s="523"/>
      <c r="E50" s="382"/>
      <c r="F50" s="383"/>
      <c r="G50" s="418"/>
      <c r="H50" s="382"/>
      <c r="I50" s="382"/>
      <c r="J50" s="384"/>
    </row>
    <row r="51" spans="1:10" s="377" customFormat="1" ht="20.25" customHeight="1">
      <c r="A51" s="380"/>
      <c r="B51" s="381"/>
      <c r="C51" s="398"/>
      <c r="D51" s="523"/>
      <c r="E51" s="382"/>
      <c r="F51" s="383"/>
      <c r="G51" s="418"/>
      <c r="H51" s="382"/>
      <c r="I51" s="382"/>
      <c r="J51" s="384"/>
    </row>
    <row r="52" spans="1:10" s="377" customFormat="1" ht="20.25" customHeight="1">
      <c r="A52" s="380"/>
      <c r="B52" s="381"/>
      <c r="C52" s="398"/>
      <c r="D52" s="523"/>
      <c r="E52" s="382"/>
      <c r="F52" s="383"/>
      <c r="G52" s="418"/>
      <c r="H52" s="382"/>
      <c r="I52" s="382"/>
      <c r="J52" s="384"/>
    </row>
    <row r="53" spans="1:10" s="377" customFormat="1" ht="20.25" customHeight="1" thickBot="1">
      <c r="A53" s="578"/>
      <c r="B53" s="579"/>
      <c r="C53" s="580"/>
      <c r="D53" s="581"/>
      <c r="E53" s="491"/>
      <c r="F53" s="492"/>
      <c r="G53" s="493"/>
      <c r="H53" s="491"/>
      <c r="I53" s="491"/>
      <c r="J53" s="582"/>
    </row>
    <row r="54" spans="1:10" s="377" customFormat="1" ht="20.25" customHeight="1" thickTop="1">
      <c r="A54" s="386">
        <v>2</v>
      </c>
      <c r="B54" s="378" t="s">
        <v>853</v>
      </c>
      <c r="C54" s="573"/>
      <c r="D54" s="574"/>
      <c r="E54" s="575"/>
      <c r="F54" s="576"/>
      <c r="G54" s="577"/>
      <c r="H54" s="575"/>
      <c r="I54" s="575"/>
      <c r="J54" s="379"/>
    </row>
    <row r="55" spans="1:10" ht="20.25" customHeight="1">
      <c r="A55" s="601">
        <v>2.1</v>
      </c>
      <c r="B55" s="387" t="s">
        <v>859</v>
      </c>
      <c r="C55" s="399"/>
      <c r="D55" s="521"/>
      <c r="E55" s="405"/>
      <c r="F55" s="383"/>
      <c r="G55" s="390"/>
      <c r="H55" s="382"/>
      <c r="I55" s="382"/>
      <c r="J55" s="391"/>
    </row>
    <row r="56" spans="1:10" s="422" customFormat="1" ht="20.25" customHeight="1">
      <c r="A56" s="392"/>
      <c r="B56" s="489" t="s">
        <v>900</v>
      </c>
      <c r="C56" s="519">
        <v>1480</v>
      </c>
      <c r="D56" s="520" t="s">
        <v>152</v>
      </c>
      <c r="E56" s="419"/>
      <c r="F56" s="420"/>
      <c r="G56" s="419"/>
      <c r="H56" s="418"/>
      <c r="I56" s="418"/>
      <c r="J56" s="421"/>
    </row>
    <row r="57" spans="1:10" ht="20.25" customHeight="1">
      <c r="A57" s="392"/>
      <c r="B57" s="381" t="s">
        <v>901</v>
      </c>
      <c r="C57" s="518">
        <v>50</v>
      </c>
      <c r="D57" s="523" t="s">
        <v>152</v>
      </c>
      <c r="E57" s="419"/>
      <c r="F57" s="420"/>
      <c r="G57" s="390"/>
      <c r="H57" s="418"/>
      <c r="I57" s="418"/>
      <c r="J57" s="391"/>
    </row>
    <row r="58" spans="1:10" ht="20.25" customHeight="1">
      <c r="A58" s="392"/>
      <c r="B58" s="381" t="s">
        <v>902</v>
      </c>
      <c r="C58" s="517">
        <v>70</v>
      </c>
      <c r="D58" s="523" t="s">
        <v>877</v>
      </c>
      <c r="E58" s="419"/>
      <c r="F58" s="420"/>
      <c r="G58" s="390"/>
      <c r="H58" s="418"/>
      <c r="I58" s="418"/>
      <c r="J58" s="391"/>
    </row>
    <row r="59" spans="1:10" ht="20.25" customHeight="1">
      <c r="A59" s="392"/>
      <c r="B59" s="381" t="s">
        <v>903</v>
      </c>
      <c r="C59" s="517">
        <v>71</v>
      </c>
      <c r="D59" s="523" t="s">
        <v>877</v>
      </c>
      <c r="E59" s="419"/>
      <c r="F59" s="420"/>
      <c r="G59" s="390"/>
      <c r="H59" s="418"/>
      <c r="I59" s="418"/>
      <c r="J59" s="391"/>
    </row>
    <row r="60" spans="1:11" ht="20.25" customHeight="1">
      <c r="A60" s="423"/>
      <c r="B60" s="525" t="s">
        <v>904</v>
      </c>
      <c r="C60" s="417">
        <v>107</v>
      </c>
      <c r="D60" s="520" t="s">
        <v>875</v>
      </c>
      <c r="E60" s="419"/>
      <c r="F60" s="420"/>
      <c r="G60" s="390"/>
      <c r="H60" s="418"/>
      <c r="I60" s="418"/>
      <c r="J60" s="391"/>
      <c r="K60" s="488"/>
    </row>
    <row r="61" spans="1:10" ht="20.25" customHeight="1">
      <c r="A61" s="392"/>
      <c r="B61" s="525" t="s">
        <v>905</v>
      </c>
      <c r="C61" s="417">
        <v>10</v>
      </c>
      <c r="D61" s="520" t="s">
        <v>875</v>
      </c>
      <c r="E61" s="419"/>
      <c r="F61" s="420"/>
      <c r="G61" s="390"/>
      <c r="H61" s="418"/>
      <c r="I61" s="418"/>
      <c r="J61" s="391"/>
    </row>
    <row r="62" spans="1:10" ht="20.25" customHeight="1">
      <c r="A62" s="386"/>
      <c r="B62" s="525" t="s">
        <v>906</v>
      </c>
      <c r="C62" s="417">
        <v>52</v>
      </c>
      <c r="D62" s="521" t="s">
        <v>875</v>
      </c>
      <c r="E62" s="419"/>
      <c r="F62" s="420"/>
      <c r="G62" s="390"/>
      <c r="H62" s="418"/>
      <c r="I62" s="418"/>
      <c r="J62" s="391"/>
    </row>
    <row r="63" spans="1:10" ht="20.25" customHeight="1">
      <c r="A63" s="386"/>
      <c r="B63" s="525" t="s">
        <v>907</v>
      </c>
      <c r="C63" s="417">
        <v>12</v>
      </c>
      <c r="D63" s="521" t="s">
        <v>875</v>
      </c>
      <c r="E63" s="419"/>
      <c r="F63" s="420"/>
      <c r="G63" s="390"/>
      <c r="H63" s="418"/>
      <c r="I63" s="418"/>
      <c r="J63" s="391"/>
    </row>
    <row r="64" spans="1:10" ht="20.25" customHeight="1">
      <c r="A64" s="386"/>
      <c r="B64" s="524" t="s">
        <v>908</v>
      </c>
      <c r="C64" s="417">
        <v>7</v>
      </c>
      <c r="D64" s="521" t="s">
        <v>875</v>
      </c>
      <c r="E64" s="419"/>
      <c r="F64" s="420"/>
      <c r="G64" s="390"/>
      <c r="H64" s="418"/>
      <c r="I64" s="418"/>
      <c r="J64" s="391"/>
    </row>
    <row r="65" spans="1:10" ht="20.25" customHeight="1">
      <c r="A65" s="386"/>
      <c r="B65" s="524" t="s">
        <v>909</v>
      </c>
      <c r="C65" s="417">
        <v>4</v>
      </c>
      <c r="D65" s="521" t="s">
        <v>876</v>
      </c>
      <c r="E65" s="419"/>
      <c r="F65" s="420"/>
      <c r="G65" s="390"/>
      <c r="H65" s="418"/>
      <c r="I65" s="418"/>
      <c r="J65" s="391"/>
    </row>
    <row r="66" spans="1:10" ht="20.25" customHeight="1">
      <c r="A66" s="386"/>
      <c r="B66" s="524" t="s">
        <v>910</v>
      </c>
      <c r="C66" s="417">
        <v>6</v>
      </c>
      <c r="D66" s="521" t="s">
        <v>876</v>
      </c>
      <c r="E66" s="419"/>
      <c r="F66" s="420"/>
      <c r="G66" s="390"/>
      <c r="H66" s="418"/>
      <c r="I66" s="418"/>
      <c r="J66" s="391"/>
    </row>
    <row r="67" spans="1:10" ht="20.25" customHeight="1">
      <c r="A67" s="386"/>
      <c r="B67" s="524" t="s">
        <v>911</v>
      </c>
      <c r="C67" s="417">
        <v>1</v>
      </c>
      <c r="D67" s="521" t="s">
        <v>887</v>
      </c>
      <c r="E67" s="390"/>
      <c r="F67" s="420"/>
      <c r="G67" s="390"/>
      <c r="H67" s="418"/>
      <c r="I67" s="418"/>
      <c r="J67" s="391"/>
    </row>
    <row r="68" spans="1:10" ht="20.25" customHeight="1">
      <c r="A68" s="386"/>
      <c r="B68" s="524" t="s">
        <v>912</v>
      </c>
      <c r="C68" s="417">
        <v>7</v>
      </c>
      <c r="D68" s="521" t="s">
        <v>152</v>
      </c>
      <c r="E68" s="390"/>
      <c r="F68" s="420"/>
      <c r="G68" s="390"/>
      <c r="H68" s="418"/>
      <c r="I68" s="418"/>
      <c r="J68" s="391"/>
    </row>
    <row r="69" spans="1:10" ht="20.25" customHeight="1">
      <c r="A69" s="386"/>
      <c r="B69" s="507" t="s">
        <v>913</v>
      </c>
      <c r="C69" s="417">
        <v>1480</v>
      </c>
      <c r="D69" s="521" t="s">
        <v>152</v>
      </c>
      <c r="E69" s="390"/>
      <c r="F69" s="420"/>
      <c r="G69" s="390"/>
      <c r="H69" s="418"/>
      <c r="I69" s="418"/>
      <c r="J69" s="391"/>
    </row>
    <row r="70" spans="1:10" ht="20.25" customHeight="1">
      <c r="A70" s="386"/>
      <c r="B70" s="596" t="s">
        <v>914</v>
      </c>
      <c r="C70" s="597">
        <v>3000</v>
      </c>
      <c r="D70" s="521" t="s">
        <v>152</v>
      </c>
      <c r="E70" s="390"/>
      <c r="F70" s="420"/>
      <c r="G70" s="390"/>
      <c r="H70" s="418"/>
      <c r="I70" s="418"/>
      <c r="J70" s="391"/>
    </row>
    <row r="71" spans="1:10" ht="20.25" customHeight="1">
      <c r="A71" s="386"/>
      <c r="B71" s="596" t="s">
        <v>915</v>
      </c>
      <c r="C71" s="597">
        <v>1000</v>
      </c>
      <c r="D71" s="521" t="s">
        <v>152</v>
      </c>
      <c r="E71" s="390"/>
      <c r="F71" s="420"/>
      <c r="G71" s="390"/>
      <c r="H71" s="418"/>
      <c r="I71" s="418"/>
      <c r="J71" s="391"/>
    </row>
    <row r="72" spans="1:10" ht="20.25" customHeight="1">
      <c r="A72" s="386"/>
      <c r="B72" s="596"/>
      <c r="C72" s="597"/>
      <c r="D72" s="521"/>
      <c r="E72" s="390"/>
      <c r="F72" s="420"/>
      <c r="G72" s="390"/>
      <c r="H72" s="420"/>
      <c r="I72" s="418"/>
      <c r="J72" s="391"/>
    </row>
    <row r="73" spans="1:10" ht="20.25" customHeight="1">
      <c r="A73" s="386"/>
      <c r="B73" s="393"/>
      <c r="C73" s="417"/>
      <c r="D73" s="521"/>
      <c r="E73" s="390"/>
      <c r="F73" s="420"/>
      <c r="G73" s="390"/>
      <c r="H73" s="420"/>
      <c r="I73" s="418"/>
      <c r="J73" s="391"/>
    </row>
    <row r="74" spans="1:10" ht="20.25" customHeight="1">
      <c r="A74" s="386"/>
      <c r="B74" s="414" t="s">
        <v>885</v>
      </c>
      <c r="C74" s="417"/>
      <c r="D74" s="521"/>
      <c r="E74" s="390"/>
      <c r="F74" s="415"/>
      <c r="G74" s="562"/>
      <c r="H74" s="415"/>
      <c r="I74" s="416"/>
      <c r="J74" s="391"/>
    </row>
    <row r="75" spans="1:10" ht="20.25" customHeight="1" thickBot="1">
      <c r="A75" s="588"/>
      <c r="B75" s="589"/>
      <c r="C75" s="590"/>
      <c r="D75" s="591"/>
      <c r="E75" s="592"/>
      <c r="F75" s="492"/>
      <c r="G75" s="592"/>
      <c r="H75" s="491"/>
      <c r="I75" s="491"/>
      <c r="J75" s="593"/>
    </row>
    <row r="76" spans="1:10" ht="20.25" customHeight="1" thickTop="1">
      <c r="A76" s="583">
        <v>3</v>
      </c>
      <c r="B76" s="584" t="s">
        <v>916</v>
      </c>
      <c r="C76" s="585"/>
      <c r="D76" s="586"/>
      <c r="E76" s="546"/>
      <c r="F76" s="576"/>
      <c r="G76" s="546"/>
      <c r="H76" s="575"/>
      <c r="I76" s="575"/>
      <c r="J76" s="587"/>
    </row>
    <row r="77" spans="1:10" ht="20.25" customHeight="1">
      <c r="A77" s="386"/>
      <c r="B77" s="389" t="s">
        <v>890</v>
      </c>
      <c r="C77" s="417">
        <v>1</v>
      </c>
      <c r="D77" s="521" t="s">
        <v>887</v>
      </c>
      <c r="E77" s="390"/>
      <c r="F77" s="383"/>
      <c r="G77" s="390"/>
      <c r="H77" s="382"/>
      <c r="I77" s="382"/>
      <c r="J77" s="391"/>
    </row>
    <row r="78" spans="1:10" ht="20.25" customHeight="1">
      <c r="A78" s="386"/>
      <c r="B78" s="389" t="s">
        <v>878</v>
      </c>
      <c r="C78" s="417">
        <v>1000</v>
      </c>
      <c r="D78" s="521" t="s">
        <v>875</v>
      </c>
      <c r="E78" s="390"/>
      <c r="F78" s="383"/>
      <c r="G78" s="390"/>
      <c r="H78" s="382"/>
      <c r="I78" s="382"/>
      <c r="J78" s="391"/>
    </row>
    <row r="79" spans="1:10" ht="20.25" customHeight="1">
      <c r="A79" s="386"/>
      <c r="B79" s="389" t="s">
        <v>879</v>
      </c>
      <c r="C79" s="417">
        <v>1</v>
      </c>
      <c r="D79" s="521" t="s">
        <v>887</v>
      </c>
      <c r="E79" s="390"/>
      <c r="F79" s="383"/>
      <c r="G79" s="390"/>
      <c r="H79" s="382"/>
      <c r="I79" s="382"/>
      <c r="J79" s="391"/>
    </row>
    <row r="80" spans="1:10" ht="20.25" customHeight="1">
      <c r="A80" s="386"/>
      <c r="B80" s="389" t="s">
        <v>880</v>
      </c>
      <c r="C80" s="417">
        <v>1000</v>
      </c>
      <c r="D80" s="521" t="s">
        <v>875</v>
      </c>
      <c r="E80" s="390"/>
      <c r="F80" s="383"/>
      <c r="G80" s="390"/>
      <c r="H80" s="382"/>
      <c r="I80" s="382"/>
      <c r="J80" s="391"/>
    </row>
    <row r="81" spans="1:10" ht="20.25" customHeight="1">
      <c r="A81" s="386"/>
      <c r="B81" s="389" t="s">
        <v>881</v>
      </c>
      <c r="C81" s="417">
        <f>19*3</f>
        <v>57</v>
      </c>
      <c r="D81" s="521" t="s">
        <v>875</v>
      </c>
      <c r="E81" s="390"/>
      <c r="F81" s="383"/>
      <c r="G81" s="390"/>
      <c r="H81" s="382"/>
      <c r="I81" s="382"/>
      <c r="J81" s="391"/>
    </row>
    <row r="82" spans="1:10" ht="20.25" customHeight="1">
      <c r="A82" s="386"/>
      <c r="B82" s="389" t="s">
        <v>882</v>
      </c>
      <c r="C82" s="417">
        <v>6</v>
      </c>
      <c r="D82" s="521" t="s">
        <v>152</v>
      </c>
      <c r="E82" s="390"/>
      <c r="F82" s="383"/>
      <c r="G82" s="390"/>
      <c r="H82" s="382"/>
      <c r="I82" s="382"/>
      <c r="J82" s="391"/>
    </row>
    <row r="83" spans="1:10" ht="20.25" customHeight="1">
      <c r="A83" s="386"/>
      <c r="B83" s="389" t="s">
        <v>883</v>
      </c>
      <c r="C83" s="417">
        <v>9</v>
      </c>
      <c r="D83" s="521" t="s">
        <v>875</v>
      </c>
      <c r="E83" s="390"/>
      <c r="F83" s="383"/>
      <c r="G83" s="390"/>
      <c r="H83" s="382"/>
      <c r="I83" s="382"/>
      <c r="J83" s="391"/>
    </row>
    <row r="84" spans="1:10" ht="20.25" customHeight="1">
      <c r="A84" s="386"/>
      <c r="B84" s="389" t="s">
        <v>884</v>
      </c>
      <c r="C84" s="417">
        <v>15</v>
      </c>
      <c r="D84" s="521" t="s">
        <v>875</v>
      </c>
      <c r="E84" s="390"/>
      <c r="F84" s="383"/>
      <c r="G84" s="390"/>
      <c r="H84" s="382"/>
      <c r="I84" s="382"/>
      <c r="J84" s="391"/>
    </row>
    <row r="85" spans="1:10" ht="20.25" customHeight="1">
      <c r="A85" s="386"/>
      <c r="B85" s="389" t="s">
        <v>889</v>
      </c>
      <c r="C85" s="417">
        <v>400</v>
      </c>
      <c r="D85" s="521" t="s">
        <v>152</v>
      </c>
      <c r="E85" s="390"/>
      <c r="F85" s="383"/>
      <c r="G85" s="390"/>
      <c r="H85" s="382"/>
      <c r="I85" s="382"/>
      <c r="J85" s="391"/>
    </row>
    <row r="86" spans="1:10" ht="20.25" customHeight="1">
      <c r="A86" s="388"/>
      <c r="B86" s="393" t="s">
        <v>891</v>
      </c>
      <c r="C86" s="519">
        <v>290</v>
      </c>
      <c r="D86" s="521" t="s">
        <v>152</v>
      </c>
      <c r="E86" s="390"/>
      <c r="F86" s="383"/>
      <c r="G86" s="390"/>
      <c r="H86" s="382"/>
      <c r="I86" s="382"/>
      <c r="J86" s="391"/>
    </row>
    <row r="87" spans="1:10" ht="20.25" customHeight="1">
      <c r="A87" s="388"/>
      <c r="B87" s="393" t="s">
        <v>892</v>
      </c>
      <c r="C87" s="519">
        <v>360</v>
      </c>
      <c r="D87" s="521" t="s">
        <v>152</v>
      </c>
      <c r="E87" s="390"/>
      <c r="F87" s="383"/>
      <c r="G87" s="390"/>
      <c r="H87" s="382"/>
      <c r="I87" s="382"/>
      <c r="J87" s="391"/>
    </row>
    <row r="88" spans="1:10" ht="20.25" customHeight="1">
      <c r="A88" s="388"/>
      <c r="B88" s="393" t="s">
        <v>893</v>
      </c>
      <c r="C88" s="519">
        <v>1</v>
      </c>
      <c r="D88" s="521" t="s">
        <v>887</v>
      </c>
      <c r="E88" s="390"/>
      <c r="F88" s="383"/>
      <c r="G88" s="390"/>
      <c r="H88" s="382"/>
      <c r="I88" s="382"/>
      <c r="J88" s="391"/>
    </row>
    <row r="89" spans="1:10" ht="20.25" customHeight="1">
      <c r="A89" s="388"/>
      <c r="B89" s="393" t="s">
        <v>894</v>
      </c>
      <c r="C89" s="519">
        <v>1</v>
      </c>
      <c r="D89" s="521" t="s">
        <v>887</v>
      </c>
      <c r="E89" s="390"/>
      <c r="F89" s="383"/>
      <c r="G89" s="390"/>
      <c r="H89" s="382"/>
      <c r="I89" s="382"/>
      <c r="J89" s="391"/>
    </row>
    <row r="90" spans="1:10" ht="20.25" customHeight="1">
      <c r="A90" s="388"/>
      <c r="B90" s="393" t="s">
        <v>895</v>
      </c>
      <c r="C90" s="519">
        <v>1</v>
      </c>
      <c r="D90" s="521" t="s">
        <v>887</v>
      </c>
      <c r="E90" s="390"/>
      <c r="F90" s="383"/>
      <c r="G90" s="390"/>
      <c r="H90" s="382"/>
      <c r="I90" s="382"/>
      <c r="J90" s="391"/>
    </row>
    <row r="91" spans="1:10" ht="20.25" customHeight="1">
      <c r="A91" s="388"/>
      <c r="B91" s="393" t="s">
        <v>898</v>
      </c>
      <c r="C91" s="519"/>
      <c r="D91" s="521"/>
      <c r="E91" s="390"/>
      <c r="F91" s="383"/>
      <c r="G91" s="390"/>
      <c r="H91" s="382"/>
      <c r="I91" s="382"/>
      <c r="J91" s="391"/>
    </row>
    <row r="92" spans="1:10" ht="20.25" customHeight="1">
      <c r="A92" s="388"/>
      <c r="B92" s="393" t="s">
        <v>896</v>
      </c>
      <c r="C92" s="519">
        <v>2</v>
      </c>
      <c r="D92" s="521" t="s">
        <v>868</v>
      </c>
      <c r="E92" s="390"/>
      <c r="F92" s="383"/>
      <c r="G92" s="390"/>
      <c r="H92" s="382"/>
      <c r="I92" s="382"/>
      <c r="J92" s="391"/>
    </row>
    <row r="93" spans="1:10" ht="20.25" customHeight="1">
      <c r="A93" s="388"/>
      <c r="B93" s="393" t="s">
        <v>897</v>
      </c>
      <c r="C93" s="519">
        <v>1</v>
      </c>
      <c r="D93" s="521" t="s">
        <v>887</v>
      </c>
      <c r="E93" s="390"/>
      <c r="F93" s="383"/>
      <c r="G93" s="390"/>
      <c r="H93" s="382"/>
      <c r="I93" s="382"/>
      <c r="J93" s="391"/>
    </row>
    <row r="94" spans="1:10" ht="20.25" customHeight="1">
      <c r="A94" s="388"/>
      <c r="B94" s="389"/>
      <c r="C94" s="417"/>
      <c r="D94" s="521"/>
      <c r="E94" s="390"/>
      <c r="F94" s="383"/>
      <c r="G94" s="390"/>
      <c r="H94" s="382"/>
      <c r="I94" s="382"/>
      <c r="J94" s="391"/>
    </row>
    <row r="95" spans="1:10" ht="20.25" customHeight="1">
      <c r="A95" s="388"/>
      <c r="B95" s="513" t="s">
        <v>886</v>
      </c>
      <c r="C95" s="417"/>
      <c r="D95" s="521"/>
      <c r="E95" s="390"/>
      <c r="F95" s="415"/>
      <c r="G95" s="562"/>
      <c r="H95" s="415"/>
      <c r="I95" s="416"/>
      <c r="J95" s="391"/>
    </row>
    <row r="96" spans="1:10" ht="20.25" customHeight="1" thickBot="1">
      <c r="A96" s="602"/>
      <c r="B96" s="603"/>
      <c r="C96" s="590"/>
      <c r="D96" s="604"/>
      <c r="E96" s="592"/>
      <c r="F96" s="492"/>
      <c r="G96" s="592"/>
      <c r="H96" s="491"/>
      <c r="I96" s="491"/>
      <c r="J96" s="593"/>
    </row>
    <row r="97" ht="18" customHeight="1" thickTop="1"/>
  </sheetData>
  <sheetProtection formatCells="0" insertHyperlinks="0"/>
  <mergeCells count="15">
    <mergeCell ref="J5:J6"/>
    <mergeCell ref="A5:A6"/>
    <mergeCell ref="B5:B6"/>
    <mergeCell ref="I5:I6"/>
    <mergeCell ref="D5:D6"/>
    <mergeCell ref="C5:C6"/>
    <mergeCell ref="E5:F5"/>
    <mergeCell ref="G5:H5"/>
    <mergeCell ref="A1:J1"/>
    <mergeCell ref="A3:C3"/>
    <mergeCell ref="A2:C2"/>
    <mergeCell ref="A4:J4"/>
    <mergeCell ref="D3:E3"/>
    <mergeCell ref="I3:J3"/>
    <mergeCell ref="F3:G3"/>
  </mergeCells>
  <hyperlinks>
    <hyperlink ref="I4" location="Eฝ้าเพดาน!A1" display="Eฝ้าเพดาน!A1"/>
    <hyperlink ref="I6" location="Aงานโครงสร้าง!A1" display="Aงานโครงสร้าง!A1"/>
    <hyperlink ref="I28" location="Mไฟฟ้า!A1" display="Mไฟฟ้า!A1"/>
    <hyperlink ref="I2" location="Eฝ้าเพดาน!A1" display="Eฝ้าเพดาน!A1"/>
  </hyperlinks>
  <printOptions horizontalCentered="1"/>
  <pageMargins left="0.03937007874015748" right="0" top="0.3937007874015748" bottom="0.3937007874015748" header="0.2755905511811024" footer="0.15748031496062992"/>
  <pageSetup horizontalDpi="600" verticalDpi="600" orientation="landscape" paperSize="9" r:id="rId1"/>
  <headerFooter alignWithMargins="0">
    <oddHeader>&amp;R&amp;"TH SarabunPSK,Regular"แบบ ปร.4 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V33"/>
  <sheetViews>
    <sheetView tabSelected="1" view="pageBreakPreview" zoomScaleNormal="115" zoomScaleSheetLayoutView="100" workbookViewId="0" topLeftCell="A4">
      <selection activeCell="V29" sqref="V29"/>
    </sheetView>
  </sheetViews>
  <sheetFormatPr defaultColWidth="9.140625" defaultRowHeight="21.75" zeroHeight="1"/>
  <cols>
    <col min="1" max="1" width="7.28125" style="432" customWidth="1"/>
    <col min="2" max="2" width="4.57421875" style="432" customWidth="1"/>
    <col min="3" max="3" width="3.7109375" style="432" customWidth="1"/>
    <col min="4" max="4" width="6.7109375" style="432" customWidth="1"/>
    <col min="5" max="5" width="4.7109375" style="432" customWidth="1"/>
    <col min="6" max="7" width="3.57421875" style="432" customWidth="1"/>
    <col min="8" max="8" width="1.7109375" style="432" customWidth="1"/>
    <col min="9" max="9" width="5.8515625" style="432" customWidth="1"/>
    <col min="10" max="10" width="4.8515625" style="432" customWidth="1"/>
    <col min="11" max="11" width="5.57421875" style="432" customWidth="1"/>
    <col min="12" max="12" width="4.7109375" style="432" customWidth="1"/>
    <col min="13" max="14" width="4.28125" style="432" customWidth="1"/>
    <col min="15" max="15" width="3.28125" style="432" customWidth="1"/>
    <col min="16" max="16" width="5.8515625" style="432" customWidth="1"/>
    <col min="17" max="17" width="4.28125" style="432" customWidth="1"/>
    <col min="18" max="18" width="4.00390625" style="432" customWidth="1"/>
    <col min="19" max="19" width="5.421875" style="432" customWidth="1"/>
    <col min="20" max="20" width="9.00390625" style="432" customWidth="1"/>
    <col min="21" max="23" width="4.7109375" style="432" customWidth="1"/>
    <col min="24" max="24" width="6.140625" style="432" customWidth="1"/>
    <col min="25" max="25" width="6.140625" style="431" customWidth="1"/>
    <col min="26" max="26" width="6.140625" style="432" customWidth="1"/>
    <col min="27" max="27" width="6.140625" style="431" customWidth="1"/>
    <col min="28" max="28" width="6.140625" style="432" customWidth="1"/>
    <col min="29" max="29" width="6.140625" style="431" customWidth="1"/>
    <col min="30" max="30" width="6.140625" style="432" customWidth="1"/>
    <col min="31" max="31" width="6.140625" style="431" customWidth="1"/>
    <col min="32" max="32" width="6.140625" style="432" customWidth="1"/>
    <col min="33" max="33" width="6.140625" style="431" customWidth="1"/>
    <col min="34" max="34" width="6.140625" style="432" customWidth="1"/>
    <col min="35" max="35" width="6.140625" style="431" customWidth="1"/>
    <col min="36" max="36" width="6.140625" style="432" customWidth="1"/>
    <col min="37" max="37" width="6.140625" style="431" customWidth="1"/>
    <col min="38" max="38" width="6.140625" style="432" customWidth="1"/>
    <col min="39" max="39" width="6.140625" style="431" customWidth="1"/>
    <col min="40" max="40" width="6.140625" style="432" customWidth="1"/>
    <col min="41" max="41" width="6.140625" style="431" customWidth="1"/>
    <col min="42" max="42" width="6.140625" style="432" customWidth="1"/>
    <col min="43" max="43" width="6.140625" style="431" customWidth="1"/>
    <col min="44" max="44" width="6.140625" style="432" customWidth="1"/>
    <col min="45" max="45" width="6.140625" style="431" customWidth="1"/>
    <col min="46" max="46" width="6.140625" style="432" customWidth="1"/>
    <col min="47" max="47" width="6.140625" style="431" customWidth="1"/>
    <col min="48" max="48" width="6.140625" style="432" customWidth="1"/>
    <col min="49" max="49" width="6.140625" style="431" customWidth="1"/>
    <col min="50" max="50" width="6.140625" style="432" customWidth="1"/>
    <col min="51" max="51" width="6.140625" style="431" customWidth="1"/>
    <col min="52" max="52" width="6.140625" style="432" customWidth="1"/>
    <col min="53" max="53" width="6.140625" style="431" customWidth="1"/>
    <col min="54" max="54" width="6.140625" style="432" customWidth="1"/>
    <col min="55" max="55" width="6.140625" style="431" customWidth="1"/>
    <col min="56" max="56" width="6.140625" style="432" customWidth="1"/>
    <col min="57" max="57" width="6.140625" style="431" customWidth="1"/>
    <col min="58" max="58" width="6.140625" style="432" customWidth="1"/>
    <col min="59" max="59" width="6.140625" style="431" customWidth="1"/>
    <col min="60" max="60" width="6.140625" style="432" customWidth="1"/>
    <col min="61" max="61" width="6.140625" style="431" customWidth="1"/>
    <col min="62" max="62" width="6.140625" style="432" customWidth="1"/>
    <col min="63" max="63" width="6.140625" style="431" customWidth="1"/>
    <col min="64" max="64" width="6.140625" style="432" customWidth="1"/>
    <col min="65" max="65" width="6.140625" style="431" customWidth="1"/>
    <col min="66" max="66" width="6.140625" style="432" customWidth="1"/>
    <col min="67" max="67" width="6.140625" style="431" customWidth="1"/>
    <col min="68" max="68" width="6.140625" style="432" customWidth="1"/>
    <col min="69" max="69" width="6.140625" style="431" customWidth="1"/>
    <col min="70" max="70" width="6.140625" style="432" customWidth="1"/>
    <col min="71" max="71" width="6.140625" style="431" customWidth="1"/>
    <col min="72" max="72" width="6.140625" style="432" customWidth="1"/>
    <col min="73" max="73" width="6.140625" style="431" customWidth="1"/>
    <col min="74" max="74" width="6.140625" style="432" customWidth="1"/>
    <col min="75" max="75" width="6.140625" style="431" customWidth="1"/>
    <col min="76" max="76" width="6.140625" style="432" customWidth="1"/>
    <col min="77" max="77" width="6.140625" style="431" customWidth="1"/>
    <col min="78" max="78" width="6.140625" style="432" customWidth="1"/>
    <col min="79" max="79" width="6.140625" style="431" customWidth="1"/>
    <col min="80" max="80" width="6.140625" style="432" customWidth="1"/>
    <col min="81" max="81" width="6.140625" style="431" customWidth="1"/>
    <col min="82" max="82" width="6.140625" style="432" customWidth="1"/>
    <col min="83" max="83" width="6.140625" style="431" customWidth="1"/>
    <col min="84" max="84" width="6.140625" style="432" customWidth="1"/>
    <col min="85" max="85" width="6.140625" style="431" customWidth="1"/>
    <col min="86" max="86" width="6.140625" style="432" customWidth="1"/>
    <col min="87" max="87" width="6.140625" style="431" customWidth="1"/>
    <col min="88" max="88" width="6.140625" style="432" customWidth="1"/>
    <col min="89" max="89" width="6.140625" style="431" customWidth="1"/>
    <col min="90" max="90" width="6.140625" style="432" customWidth="1"/>
    <col min="91" max="91" width="6.140625" style="431" customWidth="1"/>
    <col min="92" max="92" width="6.140625" style="432" customWidth="1"/>
    <col min="93" max="93" width="6.140625" style="431" customWidth="1"/>
    <col min="94" max="94" width="6.140625" style="432" customWidth="1"/>
    <col min="95" max="95" width="6.140625" style="431" customWidth="1"/>
    <col min="96" max="96" width="6.140625" style="432" customWidth="1"/>
    <col min="97" max="97" width="6.140625" style="431" customWidth="1"/>
    <col min="98" max="98" width="6.140625" style="432" customWidth="1"/>
    <col min="99" max="99" width="6.140625" style="431" customWidth="1"/>
    <col min="100" max="100" width="6.140625" style="432" customWidth="1"/>
    <col min="101" max="101" width="6.140625" style="431" customWidth="1"/>
    <col min="102" max="102" width="6.140625" style="432" customWidth="1"/>
    <col min="103" max="103" width="6.140625" style="431" customWidth="1"/>
    <col min="104" max="104" width="6.140625" style="432" customWidth="1"/>
    <col min="105" max="105" width="6.140625" style="431" customWidth="1"/>
    <col min="106" max="106" width="6.140625" style="432" customWidth="1"/>
    <col min="107" max="107" width="6.140625" style="431" customWidth="1"/>
    <col min="108" max="108" width="6.140625" style="432" customWidth="1"/>
    <col min="109" max="109" width="6.140625" style="431" customWidth="1"/>
    <col min="110" max="110" width="6.140625" style="432" customWidth="1"/>
    <col min="111" max="111" width="6.140625" style="431" customWidth="1"/>
    <col min="112" max="112" width="6.140625" style="432" customWidth="1"/>
    <col min="113" max="113" width="6.140625" style="431" customWidth="1"/>
    <col min="114" max="114" width="6.140625" style="432" customWidth="1"/>
    <col min="115" max="115" width="6.140625" style="431" customWidth="1"/>
    <col min="116" max="116" width="6.140625" style="432" customWidth="1"/>
    <col min="117" max="117" width="6.140625" style="431" customWidth="1"/>
    <col min="118" max="118" width="6.140625" style="432" customWidth="1"/>
    <col min="119" max="119" width="6.140625" style="431" customWidth="1"/>
    <col min="120" max="120" width="6.140625" style="432" customWidth="1"/>
    <col min="121" max="121" width="6.140625" style="431" customWidth="1"/>
    <col min="122" max="122" width="6.140625" style="432" customWidth="1"/>
    <col min="123" max="123" width="6.140625" style="431" customWidth="1"/>
    <col min="124" max="124" width="6.140625" style="432" customWidth="1"/>
    <col min="125" max="125" width="6.140625" style="431" customWidth="1"/>
    <col min="126" max="126" width="6.140625" style="432" customWidth="1"/>
    <col min="127" max="127" width="6.140625" style="431" customWidth="1"/>
    <col min="128" max="128" width="6.140625" style="432" customWidth="1"/>
    <col min="129" max="129" width="6.140625" style="431" customWidth="1"/>
    <col min="130" max="130" width="6.140625" style="432" customWidth="1"/>
    <col min="131" max="131" width="6.140625" style="431" customWidth="1"/>
    <col min="132" max="132" width="6.140625" style="432" customWidth="1"/>
    <col min="133" max="133" width="6.140625" style="431" customWidth="1"/>
    <col min="134" max="134" width="6.140625" style="432" customWidth="1"/>
    <col min="135" max="135" width="6.140625" style="431" customWidth="1"/>
    <col min="136" max="136" width="6.140625" style="432" customWidth="1"/>
    <col min="137" max="137" width="6.140625" style="431" customWidth="1"/>
    <col min="138" max="138" width="6.140625" style="432" customWidth="1"/>
    <col min="139" max="139" width="6.140625" style="431" customWidth="1"/>
    <col min="140" max="140" width="6.140625" style="432" customWidth="1"/>
    <col min="141" max="141" width="6.140625" style="431" customWidth="1"/>
    <col min="142" max="142" width="6.140625" style="432" customWidth="1"/>
    <col min="143" max="143" width="6.140625" style="431" customWidth="1"/>
    <col min="144" max="144" width="6.140625" style="432" customWidth="1"/>
    <col min="145" max="145" width="6.140625" style="431" customWidth="1"/>
    <col min="146" max="146" width="6.140625" style="432" customWidth="1"/>
    <col min="147" max="147" width="6.140625" style="431" customWidth="1"/>
    <col min="148" max="148" width="6.140625" style="432" customWidth="1"/>
    <col min="149" max="149" width="6.140625" style="431" customWidth="1"/>
    <col min="150" max="150" width="6.140625" style="432" customWidth="1"/>
    <col min="151" max="151" width="6.140625" style="431" customWidth="1"/>
    <col min="152" max="152" width="6.140625" style="432" customWidth="1"/>
    <col min="153" max="153" width="6.140625" style="431" customWidth="1"/>
    <col min="154" max="154" width="6.140625" style="432" customWidth="1"/>
    <col min="155" max="155" width="6.140625" style="431" customWidth="1"/>
    <col min="156" max="156" width="6.140625" style="432" customWidth="1"/>
    <col min="157" max="157" width="6.140625" style="431" customWidth="1"/>
    <col min="158" max="158" width="6.140625" style="432" customWidth="1"/>
    <col min="159" max="159" width="6.140625" style="431" customWidth="1"/>
    <col min="160" max="160" width="6.140625" style="432" customWidth="1"/>
    <col min="161" max="161" width="6.140625" style="431" customWidth="1"/>
    <col min="162" max="162" width="6.140625" style="432" customWidth="1"/>
    <col min="163" max="163" width="6.140625" style="431" customWidth="1"/>
    <col min="164" max="164" width="6.140625" style="432" customWidth="1"/>
    <col min="165" max="165" width="6.140625" style="431" customWidth="1"/>
    <col min="166" max="166" width="6.140625" style="432" customWidth="1"/>
    <col min="167" max="167" width="6.140625" style="431" customWidth="1"/>
    <col min="168" max="168" width="6.140625" style="432" customWidth="1"/>
    <col min="169" max="169" width="6.140625" style="431" customWidth="1"/>
    <col min="170" max="170" width="6.140625" style="432" customWidth="1"/>
    <col min="171" max="171" width="6.140625" style="431" customWidth="1"/>
    <col min="172" max="172" width="6.140625" style="432" customWidth="1"/>
    <col min="173" max="173" width="6.140625" style="431" customWidth="1"/>
    <col min="174" max="174" width="6.140625" style="432" customWidth="1"/>
    <col min="175" max="175" width="6.140625" style="431" customWidth="1"/>
    <col min="176" max="176" width="6.140625" style="432" customWidth="1"/>
    <col min="177" max="177" width="6.140625" style="431" customWidth="1"/>
    <col min="178" max="178" width="6.140625" style="432" customWidth="1"/>
    <col min="179" max="179" width="6.140625" style="431" customWidth="1"/>
    <col min="180" max="180" width="6.140625" style="432" customWidth="1"/>
    <col min="181" max="181" width="6.140625" style="431" customWidth="1"/>
    <col min="182" max="182" width="6.140625" style="432" customWidth="1"/>
    <col min="183" max="183" width="6.140625" style="431" customWidth="1"/>
    <col min="184" max="184" width="6.140625" style="432" customWidth="1"/>
    <col min="185" max="185" width="6.140625" style="431" customWidth="1"/>
    <col min="186" max="186" width="6.140625" style="432" customWidth="1"/>
    <col min="187" max="187" width="6.140625" style="431" customWidth="1"/>
    <col min="188" max="188" width="6.140625" style="432" customWidth="1"/>
    <col min="189" max="189" width="6.140625" style="431" customWidth="1"/>
    <col min="190" max="190" width="6.140625" style="432" customWidth="1"/>
    <col min="191" max="191" width="6.140625" style="431" customWidth="1"/>
    <col min="192" max="192" width="6.140625" style="432" customWidth="1"/>
    <col min="193" max="193" width="6.140625" style="431" customWidth="1"/>
    <col min="194" max="194" width="6.140625" style="432" customWidth="1"/>
    <col min="195" max="195" width="6.140625" style="431" customWidth="1"/>
    <col min="196" max="196" width="6.140625" style="432" customWidth="1"/>
    <col min="197" max="197" width="6.140625" style="431" customWidth="1"/>
    <col min="198" max="198" width="6.140625" style="432" customWidth="1"/>
    <col min="199" max="199" width="6.140625" style="431" customWidth="1"/>
    <col min="200" max="200" width="6.140625" style="432" customWidth="1"/>
    <col min="201" max="201" width="6.140625" style="431" customWidth="1"/>
    <col min="202" max="202" width="6.140625" style="432" customWidth="1"/>
    <col min="203" max="203" width="6.140625" style="431" customWidth="1"/>
    <col min="204" max="204" width="6.140625" style="432" customWidth="1"/>
    <col min="205" max="205" width="6.140625" style="431" customWidth="1"/>
    <col min="206" max="206" width="6.140625" style="432" customWidth="1"/>
    <col min="207" max="207" width="6.140625" style="431" customWidth="1"/>
    <col min="208" max="208" width="6.140625" style="432" customWidth="1"/>
    <col min="209" max="209" width="6.140625" style="431" customWidth="1"/>
    <col min="210" max="210" width="6.140625" style="432" customWidth="1"/>
    <col min="211" max="211" width="6.140625" style="431" customWidth="1"/>
    <col min="212" max="212" width="6.140625" style="432" customWidth="1"/>
    <col min="213" max="213" width="6.140625" style="431" customWidth="1"/>
    <col min="214" max="214" width="6.140625" style="432" customWidth="1"/>
    <col min="215" max="215" width="6.140625" style="431" customWidth="1"/>
    <col min="216" max="216" width="6.140625" style="432" customWidth="1"/>
    <col min="217" max="217" width="6.140625" style="431" customWidth="1"/>
    <col min="218" max="218" width="6.140625" style="432" customWidth="1"/>
    <col min="219" max="219" width="6.140625" style="431" customWidth="1"/>
    <col min="220" max="220" width="6.140625" style="432" customWidth="1"/>
    <col min="221" max="221" width="6.140625" style="431" customWidth="1"/>
    <col min="222" max="222" width="6.140625" style="432" customWidth="1"/>
    <col min="223" max="223" width="6.140625" style="431" customWidth="1"/>
    <col min="224" max="224" width="6.140625" style="432" customWidth="1"/>
    <col min="225" max="225" width="6.140625" style="431" customWidth="1"/>
    <col min="226" max="226" width="6.140625" style="432" customWidth="1"/>
    <col min="227" max="227" width="6.140625" style="431" customWidth="1"/>
    <col min="228" max="228" width="6.140625" style="432" customWidth="1"/>
    <col min="229" max="229" width="6.140625" style="431" customWidth="1"/>
    <col min="230" max="230" width="6.140625" style="432" customWidth="1"/>
    <col min="231" max="231" width="6.140625" style="431" customWidth="1"/>
    <col min="232" max="232" width="6.140625" style="432" customWidth="1"/>
    <col min="233" max="233" width="6.140625" style="431" customWidth="1"/>
    <col min="234" max="234" width="6.140625" style="432" customWidth="1"/>
    <col min="235" max="235" width="6.140625" style="431" customWidth="1"/>
    <col min="236" max="236" width="6.140625" style="432" customWidth="1"/>
    <col min="237" max="237" width="6.140625" style="431" customWidth="1"/>
    <col min="238" max="238" width="6.140625" style="432" customWidth="1"/>
    <col min="239" max="239" width="6.140625" style="431" customWidth="1"/>
    <col min="240" max="240" width="6.140625" style="432" customWidth="1"/>
    <col min="241" max="241" width="6.140625" style="431" customWidth="1"/>
    <col min="242" max="242" width="6.140625" style="432" customWidth="1"/>
    <col min="243" max="243" width="6.140625" style="431" customWidth="1"/>
    <col min="244" max="244" width="6.140625" style="432" customWidth="1"/>
    <col min="245" max="245" width="6.140625" style="431" customWidth="1"/>
    <col min="246" max="246" width="6.140625" style="432" customWidth="1"/>
    <col min="247" max="247" width="6.140625" style="431" customWidth="1"/>
    <col min="248" max="248" width="6.140625" style="432" customWidth="1"/>
    <col min="249" max="249" width="6.140625" style="431" customWidth="1"/>
    <col min="250" max="250" width="6.140625" style="432" customWidth="1"/>
    <col min="251" max="251" width="6.140625" style="431" customWidth="1"/>
    <col min="252" max="252" width="6.140625" style="432" customWidth="1"/>
    <col min="253" max="253" width="6.140625" style="431" customWidth="1"/>
    <col min="254" max="254" width="6.140625" style="432" customWidth="1"/>
    <col min="255" max="255" width="6.140625" style="431" customWidth="1"/>
    <col min="256" max="16384" width="9.140625" style="432" customWidth="1"/>
  </cols>
  <sheetData>
    <row r="1" spans="1:256" ht="24">
      <c r="A1" s="694" t="s">
        <v>507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430"/>
      <c r="X1" s="430"/>
      <c r="Z1" s="430"/>
      <c r="AB1" s="430"/>
      <c r="AD1" s="430"/>
      <c r="AF1" s="430"/>
      <c r="AH1" s="430"/>
      <c r="AJ1" s="430"/>
      <c r="AL1" s="430"/>
      <c r="AN1" s="430"/>
      <c r="AP1" s="430"/>
      <c r="AR1" s="430"/>
      <c r="AT1" s="430"/>
      <c r="AV1" s="430"/>
      <c r="AX1" s="430"/>
      <c r="AZ1" s="430"/>
      <c r="BB1" s="430"/>
      <c r="BD1" s="430"/>
      <c r="BF1" s="430"/>
      <c r="BH1" s="430"/>
      <c r="BJ1" s="430"/>
      <c r="BL1" s="430"/>
      <c r="BN1" s="430"/>
      <c r="BP1" s="430"/>
      <c r="BR1" s="430"/>
      <c r="BT1" s="430"/>
      <c r="BV1" s="430"/>
      <c r="BX1" s="430"/>
      <c r="BZ1" s="430"/>
      <c r="CB1" s="430"/>
      <c r="CD1" s="430"/>
      <c r="CF1" s="430"/>
      <c r="CH1" s="430"/>
      <c r="CJ1" s="430"/>
      <c r="CL1" s="430"/>
      <c r="CN1" s="430"/>
      <c r="CP1" s="430"/>
      <c r="CR1" s="430"/>
      <c r="CT1" s="430"/>
      <c r="CV1" s="430"/>
      <c r="CX1" s="430"/>
      <c r="CZ1" s="430"/>
      <c r="DB1" s="430"/>
      <c r="DD1" s="430"/>
      <c r="DF1" s="430"/>
      <c r="DH1" s="430"/>
      <c r="DJ1" s="430"/>
      <c r="DL1" s="430"/>
      <c r="DN1" s="430"/>
      <c r="DP1" s="430"/>
      <c r="DR1" s="430"/>
      <c r="DT1" s="430"/>
      <c r="DV1" s="430"/>
      <c r="DX1" s="430"/>
      <c r="DZ1" s="430"/>
      <c r="EB1" s="430"/>
      <c r="ED1" s="430"/>
      <c r="EF1" s="430"/>
      <c r="EH1" s="430"/>
      <c r="EJ1" s="430"/>
      <c r="EL1" s="430"/>
      <c r="EN1" s="430"/>
      <c r="EP1" s="430"/>
      <c r="ER1" s="430"/>
      <c r="ET1" s="430"/>
      <c r="EV1" s="430"/>
      <c r="EX1" s="430"/>
      <c r="EZ1" s="430"/>
      <c r="FB1" s="430"/>
      <c r="FD1" s="430"/>
      <c r="FF1" s="430"/>
      <c r="FH1" s="430"/>
      <c r="FJ1" s="430"/>
      <c r="FL1" s="430"/>
      <c r="FN1" s="430"/>
      <c r="FP1" s="430"/>
      <c r="FR1" s="430"/>
      <c r="FT1" s="430"/>
      <c r="FV1" s="430"/>
      <c r="FX1" s="430"/>
      <c r="FZ1" s="430"/>
      <c r="GB1" s="430"/>
      <c r="GD1" s="430"/>
      <c r="GF1" s="430"/>
      <c r="GH1" s="430"/>
      <c r="GJ1" s="430"/>
      <c r="GL1" s="430"/>
      <c r="GN1" s="430"/>
      <c r="GP1" s="430"/>
      <c r="GR1" s="430"/>
      <c r="GT1" s="430"/>
      <c r="GV1" s="430"/>
      <c r="GX1" s="430"/>
      <c r="GZ1" s="430"/>
      <c r="HB1" s="430"/>
      <c r="HD1" s="430"/>
      <c r="HF1" s="430"/>
      <c r="HH1" s="430"/>
      <c r="HJ1" s="430"/>
      <c r="HL1" s="430"/>
      <c r="HN1" s="430"/>
      <c r="HP1" s="430"/>
      <c r="HR1" s="430"/>
      <c r="HT1" s="430"/>
      <c r="HV1" s="430"/>
      <c r="HX1" s="430"/>
      <c r="HZ1" s="430"/>
      <c r="IB1" s="430"/>
      <c r="ID1" s="430"/>
      <c r="IF1" s="430"/>
      <c r="IH1" s="430"/>
      <c r="IJ1" s="430"/>
      <c r="IL1" s="430"/>
      <c r="IN1" s="430"/>
      <c r="IP1" s="430"/>
      <c r="IR1" s="430"/>
      <c r="IT1" s="430"/>
      <c r="IV1" s="430"/>
    </row>
    <row r="2" spans="1:256" ht="23.25" customHeight="1">
      <c r="A2" s="695" t="s">
        <v>174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433"/>
      <c r="X2" s="433"/>
      <c r="Z2" s="433"/>
      <c r="AB2" s="433"/>
      <c r="AD2" s="433"/>
      <c r="AF2" s="433"/>
      <c r="AH2" s="433"/>
      <c r="AJ2" s="433"/>
      <c r="AL2" s="433"/>
      <c r="AN2" s="433"/>
      <c r="AP2" s="433"/>
      <c r="AR2" s="433"/>
      <c r="AT2" s="433"/>
      <c r="AV2" s="433"/>
      <c r="AX2" s="433"/>
      <c r="AZ2" s="433"/>
      <c r="BB2" s="433"/>
      <c r="BD2" s="433"/>
      <c r="BF2" s="433"/>
      <c r="BH2" s="433"/>
      <c r="BJ2" s="433"/>
      <c r="BL2" s="433"/>
      <c r="BN2" s="433"/>
      <c r="BP2" s="433"/>
      <c r="BR2" s="433"/>
      <c r="BT2" s="433"/>
      <c r="BV2" s="433"/>
      <c r="BX2" s="433"/>
      <c r="BZ2" s="433"/>
      <c r="CB2" s="433"/>
      <c r="CD2" s="433"/>
      <c r="CF2" s="433"/>
      <c r="CH2" s="433"/>
      <c r="CJ2" s="433"/>
      <c r="CL2" s="433"/>
      <c r="CN2" s="433"/>
      <c r="CP2" s="433"/>
      <c r="CR2" s="433"/>
      <c r="CT2" s="433"/>
      <c r="CV2" s="433"/>
      <c r="CX2" s="433"/>
      <c r="CZ2" s="433"/>
      <c r="DB2" s="433"/>
      <c r="DD2" s="433"/>
      <c r="DF2" s="433"/>
      <c r="DH2" s="433"/>
      <c r="DJ2" s="433"/>
      <c r="DL2" s="433"/>
      <c r="DN2" s="433"/>
      <c r="DP2" s="433"/>
      <c r="DR2" s="433"/>
      <c r="DT2" s="433"/>
      <c r="DV2" s="433"/>
      <c r="DX2" s="433"/>
      <c r="DZ2" s="433"/>
      <c r="EB2" s="433"/>
      <c r="ED2" s="433"/>
      <c r="EF2" s="433"/>
      <c r="EH2" s="433"/>
      <c r="EJ2" s="433"/>
      <c r="EL2" s="433"/>
      <c r="EN2" s="433"/>
      <c r="EP2" s="433"/>
      <c r="ER2" s="433"/>
      <c r="ET2" s="433"/>
      <c r="EV2" s="433"/>
      <c r="EX2" s="433"/>
      <c r="EZ2" s="433"/>
      <c r="FB2" s="433"/>
      <c r="FD2" s="433"/>
      <c r="FF2" s="433"/>
      <c r="FH2" s="433"/>
      <c r="FJ2" s="433"/>
      <c r="FL2" s="433"/>
      <c r="FN2" s="433"/>
      <c r="FP2" s="433"/>
      <c r="FR2" s="433"/>
      <c r="FT2" s="433"/>
      <c r="FV2" s="433"/>
      <c r="FX2" s="433"/>
      <c r="FZ2" s="433"/>
      <c r="GB2" s="433"/>
      <c r="GD2" s="433"/>
      <c r="GF2" s="433"/>
      <c r="GH2" s="433"/>
      <c r="GJ2" s="433"/>
      <c r="GL2" s="433"/>
      <c r="GN2" s="433"/>
      <c r="GP2" s="433"/>
      <c r="GR2" s="433"/>
      <c r="GT2" s="433"/>
      <c r="GV2" s="433"/>
      <c r="GX2" s="433"/>
      <c r="GZ2" s="433"/>
      <c r="HB2" s="433"/>
      <c r="HD2" s="433"/>
      <c r="HF2" s="433"/>
      <c r="HH2" s="433"/>
      <c r="HJ2" s="433"/>
      <c r="HL2" s="433"/>
      <c r="HN2" s="433"/>
      <c r="HP2" s="433"/>
      <c r="HR2" s="433"/>
      <c r="HT2" s="433"/>
      <c r="HV2" s="433"/>
      <c r="HX2" s="433"/>
      <c r="HZ2" s="433"/>
      <c r="IB2" s="433"/>
      <c r="ID2" s="433"/>
      <c r="IF2" s="433"/>
      <c r="IH2" s="433"/>
      <c r="IJ2" s="433"/>
      <c r="IL2" s="433"/>
      <c r="IN2" s="433"/>
      <c r="IP2" s="433"/>
      <c r="IR2" s="433"/>
      <c r="IT2" s="433"/>
      <c r="IV2" s="433"/>
    </row>
    <row r="3" spans="1:256" s="436" customFormat="1" ht="21.75">
      <c r="A3" s="434" t="s">
        <v>564</v>
      </c>
      <c r="B3" s="696" t="s">
        <v>508</v>
      </c>
      <c r="C3" s="696"/>
      <c r="D3" s="696"/>
      <c r="E3" s="698" t="s">
        <v>851</v>
      </c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435"/>
      <c r="X3" s="435"/>
      <c r="Z3" s="435"/>
      <c r="AB3" s="435"/>
      <c r="AD3" s="435"/>
      <c r="AF3" s="435"/>
      <c r="AH3" s="435"/>
      <c r="AJ3" s="435"/>
      <c r="AL3" s="435"/>
      <c r="AN3" s="435"/>
      <c r="AP3" s="435"/>
      <c r="AR3" s="435"/>
      <c r="AT3" s="435"/>
      <c r="AV3" s="435"/>
      <c r="AX3" s="435"/>
      <c r="AZ3" s="435"/>
      <c r="BB3" s="435"/>
      <c r="BD3" s="435"/>
      <c r="BF3" s="435"/>
      <c r="BH3" s="435"/>
      <c r="BJ3" s="435"/>
      <c r="BL3" s="435"/>
      <c r="BN3" s="435"/>
      <c r="BP3" s="435"/>
      <c r="BR3" s="435"/>
      <c r="BT3" s="435"/>
      <c r="BV3" s="435"/>
      <c r="BX3" s="435"/>
      <c r="BZ3" s="435"/>
      <c r="CB3" s="435"/>
      <c r="CD3" s="435"/>
      <c r="CF3" s="435"/>
      <c r="CH3" s="435"/>
      <c r="CJ3" s="435"/>
      <c r="CL3" s="435"/>
      <c r="CN3" s="435"/>
      <c r="CP3" s="435"/>
      <c r="CR3" s="435"/>
      <c r="CT3" s="435"/>
      <c r="CV3" s="435"/>
      <c r="CX3" s="435"/>
      <c r="CZ3" s="435"/>
      <c r="DB3" s="435"/>
      <c r="DD3" s="435"/>
      <c r="DF3" s="435"/>
      <c r="DH3" s="435"/>
      <c r="DJ3" s="435"/>
      <c r="DL3" s="435"/>
      <c r="DN3" s="435"/>
      <c r="DP3" s="435"/>
      <c r="DR3" s="435"/>
      <c r="DT3" s="435"/>
      <c r="DV3" s="435"/>
      <c r="DX3" s="435"/>
      <c r="DZ3" s="435"/>
      <c r="EB3" s="435"/>
      <c r="ED3" s="435"/>
      <c r="EF3" s="435"/>
      <c r="EH3" s="435"/>
      <c r="EJ3" s="435"/>
      <c r="EL3" s="435"/>
      <c r="EN3" s="435"/>
      <c r="EP3" s="435"/>
      <c r="ER3" s="435"/>
      <c r="ET3" s="435"/>
      <c r="EV3" s="435"/>
      <c r="EX3" s="435"/>
      <c r="EZ3" s="435"/>
      <c r="FB3" s="435"/>
      <c r="FD3" s="435"/>
      <c r="FF3" s="435"/>
      <c r="FH3" s="435"/>
      <c r="FJ3" s="435"/>
      <c r="FL3" s="435"/>
      <c r="FN3" s="435"/>
      <c r="FP3" s="435"/>
      <c r="FR3" s="435"/>
      <c r="FT3" s="435"/>
      <c r="FV3" s="435"/>
      <c r="FX3" s="435"/>
      <c r="FZ3" s="435"/>
      <c r="GB3" s="435"/>
      <c r="GD3" s="435"/>
      <c r="GF3" s="435"/>
      <c r="GH3" s="435"/>
      <c r="GJ3" s="435"/>
      <c r="GL3" s="435"/>
      <c r="GN3" s="435"/>
      <c r="GP3" s="435"/>
      <c r="GR3" s="435"/>
      <c r="GT3" s="435"/>
      <c r="GV3" s="435"/>
      <c r="GX3" s="435"/>
      <c r="GZ3" s="435"/>
      <c r="HB3" s="435"/>
      <c r="HD3" s="435"/>
      <c r="HF3" s="435"/>
      <c r="HH3" s="435"/>
      <c r="HJ3" s="435"/>
      <c r="HL3" s="435"/>
      <c r="HN3" s="435"/>
      <c r="HP3" s="435"/>
      <c r="HR3" s="435"/>
      <c r="HT3" s="435"/>
      <c r="HV3" s="435"/>
      <c r="HX3" s="435"/>
      <c r="HZ3" s="435"/>
      <c r="IB3" s="435"/>
      <c r="ID3" s="435"/>
      <c r="IF3" s="435"/>
      <c r="IH3" s="435"/>
      <c r="IJ3" s="435"/>
      <c r="IL3" s="435"/>
      <c r="IN3" s="435"/>
      <c r="IP3" s="435"/>
      <c r="IR3" s="435"/>
      <c r="IT3" s="435"/>
      <c r="IV3" s="435"/>
    </row>
    <row r="4" spans="1:256" s="436" customFormat="1" ht="21.75">
      <c r="A4" s="437" t="s">
        <v>564</v>
      </c>
      <c r="B4" s="697" t="s">
        <v>509</v>
      </c>
      <c r="C4" s="697"/>
      <c r="D4" s="697"/>
      <c r="E4" s="704" t="s">
        <v>200</v>
      </c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435"/>
      <c r="X4" s="435"/>
      <c r="Z4" s="435"/>
      <c r="AB4" s="435"/>
      <c r="AD4" s="435"/>
      <c r="AF4" s="435"/>
      <c r="AH4" s="435"/>
      <c r="AJ4" s="435"/>
      <c r="AL4" s="435"/>
      <c r="AN4" s="435"/>
      <c r="AP4" s="435"/>
      <c r="AR4" s="435"/>
      <c r="AT4" s="435"/>
      <c r="AV4" s="435"/>
      <c r="AX4" s="435"/>
      <c r="AZ4" s="435"/>
      <c r="BB4" s="435"/>
      <c r="BD4" s="435"/>
      <c r="BF4" s="435"/>
      <c r="BH4" s="435"/>
      <c r="BJ4" s="435"/>
      <c r="BL4" s="435"/>
      <c r="BN4" s="435"/>
      <c r="BP4" s="435"/>
      <c r="BR4" s="435"/>
      <c r="BT4" s="435"/>
      <c r="BV4" s="435"/>
      <c r="BX4" s="435"/>
      <c r="BZ4" s="435"/>
      <c r="CB4" s="435"/>
      <c r="CD4" s="435"/>
      <c r="CF4" s="435"/>
      <c r="CH4" s="435"/>
      <c r="CJ4" s="435"/>
      <c r="CL4" s="435"/>
      <c r="CN4" s="435"/>
      <c r="CP4" s="435"/>
      <c r="CR4" s="435"/>
      <c r="CT4" s="435"/>
      <c r="CV4" s="435"/>
      <c r="CX4" s="435"/>
      <c r="CZ4" s="435"/>
      <c r="DB4" s="435"/>
      <c r="DD4" s="435"/>
      <c r="DF4" s="435"/>
      <c r="DH4" s="435"/>
      <c r="DJ4" s="435"/>
      <c r="DL4" s="435"/>
      <c r="DN4" s="435"/>
      <c r="DP4" s="435"/>
      <c r="DR4" s="435"/>
      <c r="DT4" s="435"/>
      <c r="DV4" s="435"/>
      <c r="DX4" s="435"/>
      <c r="DZ4" s="435"/>
      <c r="EB4" s="435"/>
      <c r="ED4" s="435"/>
      <c r="EF4" s="435"/>
      <c r="EH4" s="435"/>
      <c r="EJ4" s="435"/>
      <c r="EL4" s="435"/>
      <c r="EN4" s="435"/>
      <c r="EP4" s="435"/>
      <c r="ER4" s="435"/>
      <c r="ET4" s="435"/>
      <c r="EV4" s="435"/>
      <c r="EX4" s="435"/>
      <c r="EZ4" s="435"/>
      <c r="FB4" s="435"/>
      <c r="FD4" s="435"/>
      <c r="FF4" s="435"/>
      <c r="FH4" s="435"/>
      <c r="FJ4" s="435"/>
      <c r="FL4" s="435"/>
      <c r="FN4" s="435"/>
      <c r="FP4" s="435"/>
      <c r="FR4" s="435"/>
      <c r="FT4" s="435"/>
      <c r="FV4" s="435"/>
      <c r="FX4" s="435"/>
      <c r="FZ4" s="435"/>
      <c r="GB4" s="435"/>
      <c r="GD4" s="435"/>
      <c r="GF4" s="435"/>
      <c r="GH4" s="435"/>
      <c r="GJ4" s="435"/>
      <c r="GL4" s="435"/>
      <c r="GN4" s="435"/>
      <c r="GP4" s="435"/>
      <c r="GR4" s="435"/>
      <c r="GT4" s="435"/>
      <c r="GV4" s="435"/>
      <c r="GX4" s="435"/>
      <c r="GZ4" s="435"/>
      <c r="HB4" s="435"/>
      <c r="HD4" s="435"/>
      <c r="HF4" s="435"/>
      <c r="HH4" s="435"/>
      <c r="HJ4" s="435"/>
      <c r="HL4" s="435"/>
      <c r="HN4" s="435"/>
      <c r="HP4" s="435"/>
      <c r="HR4" s="435"/>
      <c r="HT4" s="435"/>
      <c r="HV4" s="435"/>
      <c r="HX4" s="435"/>
      <c r="HZ4" s="435"/>
      <c r="IB4" s="435"/>
      <c r="ID4" s="435"/>
      <c r="IF4" s="435"/>
      <c r="IH4" s="435"/>
      <c r="IJ4" s="435"/>
      <c r="IL4" s="435"/>
      <c r="IN4" s="435"/>
      <c r="IP4" s="435"/>
      <c r="IR4" s="435"/>
      <c r="IT4" s="435"/>
      <c r="IV4" s="435"/>
    </row>
    <row r="5" spans="1:256" s="436" customFormat="1" ht="21.75">
      <c r="A5" s="437" t="s">
        <v>564</v>
      </c>
      <c r="B5" s="697" t="s">
        <v>494</v>
      </c>
      <c r="C5" s="697"/>
      <c r="D5" s="697"/>
      <c r="E5" s="704" t="s">
        <v>200</v>
      </c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435"/>
      <c r="X5" s="435"/>
      <c r="Z5" s="435"/>
      <c r="AB5" s="435"/>
      <c r="AD5" s="435"/>
      <c r="AF5" s="435"/>
      <c r="AH5" s="435"/>
      <c r="AJ5" s="435"/>
      <c r="AL5" s="435"/>
      <c r="AN5" s="435"/>
      <c r="AP5" s="435"/>
      <c r="AR5" s="435"/>
      <c r="AT5" s="435"/>
      <c r="AV5" s="435"/>
      <c r="AX5" s="435"/>
      <c r="AZ5" s="435"/>
      <c r="BB5" s="435"/>
      <c r="BD5" s="435"/>
      <c r="BF5" s="435"/>
      <c r="BH5" s="435"/>
      <c r="BJ5" s="435"/>
      <c r="BL5" s="435"/>
      <c r="BN5" s="435"/>
      <c r="BP5" s="435"/>
      <c r="BR5" s="435"/>
      <c r="BT5" s="435"/>
      <c r="BV5" s="435"/>
      <c r="BX5" s="435"/>
      <c r="BZ5" s="435"/>
      <c r="CB5" s="435"/>
      <c r="CD5" s="435"/>
      <c r="CF5" s="435"/>
      <c r="CH5" s="435"/>
      <c r="CJ5" s="435"/>
      <c r="CL5" s="435"/>
      <c r="CN5" s="435"/>
      <c r="CP5" s="435"/>
      <c r="CR5" s="435"/>
      <c r="CT5" s="435"/>
      <c r="CV5" s="435"/>
      <c r="CX5" s="435"/>
      <c r="CZ5" s="435"/>
      <c r="DB5" s="435"/>
      <c r="DD5" s="435"/>
      <c r="DF5" s="435"/>
      <c r="DH5" s="435"/>
      <c r="DJ5" s="435"/>
      <c r="DL5" s="435"/>
      <c r="DN5" s="435"/>
      <c r="DP5" s="435"/>
      <c r="DR5" s="435"/>
      <c r="DT5" s="435"/>
      <c r="DV5" s="435"/>
      <c r="DX5" s="435"/>
      <c r="DZ5" s="435"/>
      <c r="EB5" s="435"/>
      <c r="ED5" s="435"/>
      <c r="EF5" s="435"/>
      <c r="EH5" s="435"/>
      <c r="EJ5" s="435"/>
      <c r="EL5" s="435"/>
      <c r="EN5" s="435"/>
      <c r="EP5" s="435"/>
      <c r="ER5" s="435"/>
      <c r="ET5" s="435"/>
      <c r="EV5" s="435"/>
      <c r="EX5" s="435"/>
      <c r="EZ5" s="435"/>
      <c r="FB5" s="435"/>
      <c r="FD5" s="435"/>
      <c r="FF5" s="435"/>
      <c r="FH5" s="435"/>
      <c r="FJ5" s="435"/>
      <c r="FL5" s="435"/>
      <c r="FN5" s="435"/>
      <c r="FP5" s="435"/>
      <c r="FR5" s="435"/>
      <c r="FT5" s="435"/>
      <c r="FV5" s="435"/>
      <c r="FX5" s="435"/>
      <c r="FZ5" s="435"/>
      <c r="GB5" s="435"/>
      <c r="GD5" s="435"/>
      <c r="GF5" s="435"/>
      <c r="GH5" s="435"/>
      <c r="GJ5" s="435"/>
      <c r="GL5" s="435"/>
      <c r="GN5" s="435"/>
      <c r="GP5" s="435"/>
      <c r="GR5" s="435"/>
      <c r="GT5" s="435"/>
      <c r="GV5" s="435"/>
      <c r="GX5" s="435"/>
      <c r="GZ5" s="435"/>
      <c r="HB5" s="435"/>
      <c r="HD5" s="435"/>
      <c r="HF5" s="435"/>
      <c r="HH5" s="435"/>
      <c r="HJ5" s="435"/>
      <c r="HL5" s="435"/>
      <c r="HN5" s="435"/>
      <c r="HP5" s="435"/>
      <c r="HR5" s="435"/>
      <c r="HT5" s="435"/>
      <c r="HV5" s="435"/>
      <c r="HX5" s="435"/>
      <c r="HZ5" s="435"/>
      <c r="IB5" s="435"/>
      <c r="ID5" s="435"/>
      <c r="IF5" s="435"/>
      <c r="IH5" s="435"/>
      <c r="IJ5" s="435"/>
      <c r="IL5" s="435"/>
      <c r="IN5" s="435"/>
      <c r="IP5" s="435"/>
      <c r="IR5" s="435"/>
      <c r="IT5" s="435"/>
      <c r="IV5" s="435"/>
    </row>
    <row r="6" spans="1:256" s="436" customFormat="1" ht="21.75">
      <c r="A6" s="437" t="s">
        <v>564</v>
      </c>
      <c r="B6" s="697" t="s">
        <v>567</v>
      </c>
      <c r="C6" s="716"/>
      <c r="D6" s="716"/>
      <c r="E6" s="716"/>
      <c r="F6" s="697"/>
      <c r="G6" s="697"/>
      <c r="H6" s="697"/>
      <c r="I6" s="705" t="s">
        <v>55</v>
      </c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438"/>
      <c r="X6" s="438"/>
      <c r="Z6" s="438"/>
      <c r="AB6" s="438"/>
      <c r="AD6" s="438"/>
      <c r="AF6" s="438"/>
      <c r="AH6" s="438"/>
      <c r="AJ6" s="438"/>
      <c r="AL6" s="438"/>
      <c r="AN6" s="438"/>
      <c r="AP6" s="438"/>
      <c r="AR6" s="438"/>
      <c r="AT6" s="438"/>
      <c r="AV6" s="438"/>
      <c r="AX6" s="438"/>
      <c r="AZ6" s="438"/>
      <c r="BB6" s="438"/>
      <c r="BD6" s="438"/>
      <c r="BF6" s="438"/>
      <c r="BH6" s="438"/>
      <c r="BJ6" s="438"/>
      <c r="BL6" s="438"/>
      <c r="BN6" s="438"/>
      <c r="BP6" s="438"/>
      <c r="BR6" s="438"/>
      <c r="BT6" s="438"/>
      <c r="BV6" s="438"/>
      <c r="BX6" s="438"/>
      <c r="BZ6" s="438"/>
      <c r="CB6" s="438"/>
      <c r="CD6" s="438"/>
      <c r="CF6" s="438"/>
      <c r="CH6" s="438"/>
      <c r="CJ6" s="438"/>
      <c r="CL6" s="438"/>
      <c r="CN6" s="438"/>
      <c r="CP6" s="438"/>
      <c r="CR6" s="438"/>
      <c r="CT6" s="438"/>
      <c r="CV6" s="438"/>
      <c r="CX6" s="438"/>
      <c r="CZ6" s="438"/>
      <c r="DB6" s="438"/>
      <c r="DD6" s="438"/>
      <c r="DF6" s="438"/>
      <c r="DH6" s="438"/>
      <c r="DJ6" s="438"/>
      <c r="DL6" s="438"/>
      <c r="DN6" s="438"/>
      <c r="DP6" s="438"/>
      <c r="DR6" s="438"/>
      <c r="DT6" s="438"/>
      <c r="DV6" s="438"/>
      <c r="DX6" s="438"/>
      <c r="DZ6" s="438"/>
      <c r="EB6" s="438"/>
      <c r="ED6" s="438"/>
      <c r="EF6" s="438"/>
      <c r="EH6" s="438"/>
      <c r="EJ6" s="438"/>
      <c r="EL6" s="438"/>
      <c r="EN6" s="438"/>
      <c r="EP6" s="438"/>
      <c r="ER6" s="438"/>
      <c r="ET6" s="438"/>
      <c r="EV6" s="438"/>
      <c r="EX6" s="438"/>
      <c r="EZ6" s="438"/>
      <c r="FB6" s="438"/>
      <c r="FD6" s="438"/>
      <c r="FF6" s="438"/>
      <c r="FH6" s="438"/>
      <c r="FJ6" s="438"/>
      <c r="FL6" s="438"/>
      <c r="FN6" s="438"/>
      <c r="FP6" s="438"/>
      <c r="FR6" s="438"/>
      <c r="FT6" s="438"/>
      <c r="FV6" s="438"/>
      <c r="FX6" s="438"/>
      <c r="FZ6" s="438"/>
      <c r="GB6" s="438"/>
      <c r="GD6" s="438"/>
      <c r="GF6" s="438"/>
      <c r="GH6" s="438"/>
      <c r="GJ6" s="438"/>
      <c r="GL6" s="438"/>
      <c r="GN6" s="438"/>
      <c r="GP6" s="438"/>
      <c r="GR6" s="438"/>
      <c r="GT6" s="438"/>
      <c r="GV6" s="438"/>
      <c r="GX6" s="438"/>
      <c r="GZ6" s="438"/>
      <c r="HB6" s="438"/>
      <c r="HD6" s="438"/>
      <c r="HF6" s="438"/>
      <c r="HH6" s="438"/>
      <c r="HJ6" s="438"/>
      <c r="HL6" s="438"/>
      <c r="HN6" s="438"/>
      <c r="HP6" s="438"/>
      <c r="HR6" s="438"/>
      <c r="HT6" s="438"/>
      <c r="HV6" s="438"/>
      <c r="HX6" s="438"/>
      <c r="HZ6" s="438"/>
      <c r="IB6" s="438"/>
      <c r="ID6" s="438"/>
      <c r="IF6" s="438"/>
      <c r="IH6" s="438"/>
      <c r="IJ6" s="438"/>
      <c r="IL6" s="438"/>
      <c r="IN6" s="438"/>
      <c r="IP6" s="438"/>
      <c r="IR6" s="438"/>
      <c r="IT6" s="438"/>
      <c r="IV6" s="438"/>
    </row>
    <row r="7" spans="1:256" s="436" customFormat="1" ht="21.75">
      <c r="A7" s="437" t="s">
        <v>564</v>
      </c>
      <c r="B7" s="439" t="s">
        <v>56</v>
      </c>
      <c r="C7" s="439"/>
      <c r="D7" s="595"/>
      <c r="E7" s="490" t="str">
        <f>'ปร.4'!E2</f>
        <v>A-01 ถึง A-28</v>
      </c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R7" s="440"/>
      <c r="S7" s="440" t="str">
        <f>'ปร.4'!$I$2</f>
        <v>รายการเลขที่  </v>
      </c>
      <c r="T7" s="440"/>
      <c r="U7" s="440"/>
      <c r="V7" s="440"/>
      <c r="W7" s="441"/>
      <c r="X7" s="441"/>
      <c r="Z7" s="441"/>
      <c r="AB7" s="441"/>
      <c r="AD7" s="441"/>
      <c r="AF7" s="441"/>
      <c r="AH7" s="441"/>
      <c r="AJ7" s="441"/>
      <c r="AL7" s="441"/>
      <c r="AN7" s="441"/>
      <c r="AP7" s="441"/>
      <c r="AR7" s="441"/>
      <c r="AT7" s="441"/>
      <c r="AV7" s="441"/>
      <c r="AX7" s="441"/>
      <c r="AZ7" s="441"/>
      <c r="BB7" s="441"/>
      <c r="BD7" s="441"/>
      <c r="BF7" s="441"/>
      <c r="BH7" s="441"/>
      <c r="BJ7" s="441"/>
      <c r="BL7" s="441"/>
      <c r="BN7" s="441"/>
      <c r="BP7" s="441"/>
      <c r="BR7" s="441"/>
      <c r="BT7" s="441"/>
      <c r="BV7" s="441"/>
      <c r="BX7" s="441"/>
      <c r="BZ7" s="441"/>
      <c r="CB7" s="441"/>
      <c r="CD7" s="441"/>
      <c r="CF7" s="441"/>
      <c r="CH7" s="441"/>
      <c r="CJ7" s="441"/>
      <c r="CL7" s="441"/>
      <c r="CN7" s="441"/>
      <c r="CP7" s="441"/>
      <c r="CR7" s="441"/>
      <c r="CT7" s="441"/>
      <c r="CV7" s="441"/>
      <c r="CX7" s="441"/>
      <c r="CZ7" s="441"/>
      <c r="DB7" s="441"/>
      <c r="DD7" s="441"/>
      <c r="DF7" s="441"/>
      <c r="DH7" s="441"/>
      <c r="DJ7" s="441"/>
      <c r="DL7" s="441"/>
      <c r="DN7" s="441"/>
      <c r="DP7" s="441"/>
      <c r="DR7" s="441"/>
      <c r="DT7" s="441"/>
      <c r="DV7" s="441"/>
      <c r="DX7" s="441"/>
      <c r="DZ7" s="441"/>
      <c r="EB7" s="441"/>
      <c r="ED7" s="441"/>
      <c r="EF7" s="441"/>
      <c r="EH7" s="441"/>
      <c r="EJ7" s="441"/>
      <c r="EL7" s="441"/>
      <c r="EN7" s="441"/>
      <c r="EP7" s="441"/>
      <c r="ER7" s="441"/>
      <c r="ET7" s="441"/>
      <c r="EV7" s="441"/>
      <c r="EX7" s="441"/>
      <c r="EZ7" s="441"/>
      <c r="FB7" s="441"/>
      <c r="FD7" s="441"/>
      <c r="FF7" s="441"/>
      <c r="FH7" s="441"/>
      <c r="FJ7" s="441"/>
      <c r="FL7" s="441"/>
      <c r="FN7" s="441"/>
      <c r="FP7" s="441"/>
      <c r="FR7" s="441"/>
      <c r="FT7" s="441"/>
      <c r="FV7" s="441"/>
      <c r="FX7" s="441"/>
      <c r="FZ7" s="441"/>
      <c r="GB7" s="441"/>
      <c r="GD7" s="441"/>
      <c r="GF7" s="441"/>
      <c r="GH7" s="441"/>
      <c r="GJ7" s="441"/>
      <c r="GL7" s="441"/>
      <c r="GN7" s="441"/>
      <c r="GP7" s="441"/>
      <c r="GR7" s="441"/>
      <c r="GT7" s="441"/>
      <c r="GV7" s="441"/>
      <c r="GX7" s="441"/>
      <c r="GZ7" s="441"/>
      <c r="HB7" s="441"/>
      <c r="HD7" s="441"/>
      <c r="HF7" s="441"/>
      <c r="HH7" s="441"/>
      <c r="HJ7" s="441"/>
      <c r="HL7" s="441"/>
      <c r="HN7" s="441"/>
      <c r="HP7" s="441"/>
      <c r="HR7" s="441"/>
      <c r="HT7" s="441"/>
      <c r="HV7" s="441"/>
      <c r="HX7" s="441"/>
      <c r="HZ7" s="441"/>
      <c r="IB7" s="441"/>
      <c r="ID7" s="441"/>
      <c r="IF7" s="441"/>
      <c r="IH7" s="441"/>
      <c r="IJ7" s="441"/>
      <c r="IL7" s="441"/>
      <c r="IN7" s="441"/>
      <c r="IP7" s="441"/>
      <c r="IR7" s="441"/>
      <c r="IT7" s="441"/>
      <c r="IV7" s="441"/>
    </row>
    <row r="8" spans="1:256" s="436" customFormat="1" ht="21.75">
      <c r="A8" s="437" t="s">
        <v>564</v>
      </c>
      <c r="B8" s="697" t="s">
        <v>510</v>
      </c>
      <c r="C8" s="717"/>
      <c r="D8" s="717"/>
      <c r="E8" s="717"/>
      <c r="F8" s="718" t="s">
        <v>528</v>
      </c>
      <c r="G8" s="718"/>
      <c r="H8" s="718"/>
      <c r="I8" s="718"/>
      <c r="J8" s="719" t="s">
        <v>498</v>
      </c>
      <c r="K8" s="719"/>
      <c r="L8" s="442">
        <v>4</v>
      </c>
      <c r="M8" s="437" t="s">
        <v>527</v>
      </c>
      <c r="N8" s="697"/>
      <c r="O8" s="697"/>
      <c r="P8" s="697"/>
      <c r="Q8" s="697"/>
      <c r="R8" s="697"/>
      <c r="S8" s="697"/>
      <c r="T8" s="697"/>
      <c r="U8" s="697"/>
      <c r="V8" s="697"/>
      <c r="W8" s="443"/>
      <c r="X8" s="443"/>
      <c r="Z8" s="443"/>
      <c r="AB8" s="443"/>
      <c r="AD8" s="443"/>
      <c r="AF8" s="443"/>
      <c r="AH8" s="443"/>
      <c r="AJ8" s="443"/>
      <c r="AL8" s="443"/>
      <c r="AN8" s="443"/>
      <c r="AP8" s="443"/>
      <c r="AR8" s="443"/>
      <c r="AT8" s="443"/>
      <c r="AV8" s="443"/>
      <c r="AX8" s="443"/>
      <c r="AZ8" s="443"/>
      <c r="BB8" s="443"/>
      <c r="BD8" s="443"/>
      <c r="BF8" s="443"/>
      <c r="BH8" s="443"/>
      <c r="BJ8" s="443"/>
      <c r="BL8" s="443"/>
      <c r="BN8" s="443"/>
      <c r="BP8" s="443"/>
      <c r="BR8" s="443"/>
      <c r="BT8" s="443"/>
      <c r="BV8" s="443"/>
      <c r="BX8" s="443"/>
      <c r="BZ8" s="443"/>
      <c r="CB8" s="443"/>
      <c r="CD8" s="443"/>
      <c r="CF8" s="443"/>
      <c r="CH8" s="443"/>
      <c r="CJ8" s="443"/>
      <c r="CL8" s="443"/>
      <c r="CN8" s="443"/>
      <c r="CP8" s="443"/>
      <c r="CR8" s="443"/>
      <c r="CT8" s="443"/>
      <c r="CV8" s="443"/>
      <c r="CX8" s="443"/>
      <c r="CZ8" s="443"/>
      <c r="DB8" s="443"/>
      <c r="DD8" s="443"/>
      <c r="DF8" s="443"/>
      <c r="DH8" s="443"/>
      <c r="DJ8" s="443"/>
      <c r="DL8" s="443"/>
      <c r="DN8" s="443"/>
      <c r="DP8" s="443"/>
      <c r="DR8" s="443"/>
      <c r="DT8" s="443"/>
      <c r="DV8" s="443"/>
      <c r="DX8" s="443"/>
      <c r="DZ8" s="443"/>
      <c r="EB8" s="443"/>
      <c r="ED8" s="443"/>
      <c r="EF8" s="443"/>
      <c r="EH8" s="443"/>
      <c r="EJ8" s="443"/>
      <c r="EL8" s="443"/>
      <c r="EN8" s="443"/>
      <c r="EP8" s="443"/>
      <c r="ER8" s="443"/>
      <c r="ET8" s="443"/>
      <c r="EV8" s="443"/>
      <c r="EX8" s="443"/>
      <c r="EZ8" s="443"/>
      <c r="FB8" s="443"/>
      <c r="FD8" s="443"/>
      <c r="FF8" s="443"/>
      <c r="FH8" s="443"/>
      <c r="FJ8" s="443"/>
      <c r="FL8" s="443"/>
      <c r="FN8" s="443"/>
      <c r="FP8" s="443"/>
      <c r="FR8" s="443"/>
      <c r="FT8" s="443"/>
      <c r="FV8" s="443"/>
      <c r="FX8" s="443"/>
      <c r="FZ8" s="443"/>
      <c r="GB8" s="443"/>
      <c r="GD8" s="443"/>
      <c r="GF8" s="443"/>
      <c r="GH8" s="443"/>
      <c r="GJ8" s="443"/>
      <c r="GL8" s="443"/>
      <c r="GN8" s="443"/>
      <c r="GP8" s="443"/>
      <c r="GR8" s="443"/>
      <c r="GT8" s="443"/>
      <c r="GV8" s="443"/>
      <c r="GX8" s="443"/>
      <c r="GZ8" s="443"/>
      <c r="HB8" s="443"/>
      <c r="HD8" s="443"/>
      <c r="HF8" s="443"/>
      <c r="HH8" s="443"/>
      <c r="HJ8" s="443"/>
      <c r="HL8" s="443"/>
      <c r="HN8" s="443"/>
      <c r="HP8" s="443"/>
      <c r="HR8" s="443"/>
      <c r="HT8" s="443"/>
      <c r="HV8" s="443"/>
      <c r="HX8" s="443"/>
      <c r="HZ8" s="443"/>
      <c r="IB8" s="443"/>
      <c r="ID8" s="443"/>
      <c r="IF8" s="443"/>
      <c r="IH8" s="443"/>
      <c r="IJ8" s="443"/>
      <c r="IL8" s="443"/>
      <c r="IN8" s="443"/>
      <c r="IP8" s="443"/>
      <c r="IR8" s="443"/>
      <c r="IT8" s="443"/>
      <c r="IV8" s="443"/>
    </row>
    <row r="9" spans="1:256" s="448" customFormat="1" ht="21.75">
      <c r="A9" s="437" t="s">
        <v>564</v>
      </c>
      <c r="B9" s="697" t="s">
        <v>495</v>
      </c>
      <c r="C9" s="697"/>
      <c r="D9" s="697"/>
      <c r="E9" s="697"/>
      <c r="F9" s="444">
        <f>'ปร.4'!F3</f>
        <v>0</v>
      </c>
      <c r="G9" s="445"/>
      <c r="H9" s="445"/>
      <c r="I9" s="445"/>
      <c r="J9" s="445"/>
      <c r="K9" s="446"/>
      <c r="L9" s="446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447"/>
      <c r="X9" s="447"/>
      <c r="Z9" s="447"/>
      <c r="AB9" s="447"/>
      <c r="AD9" s="447"/>
      <c r="AF9" s="447"/>
      <c r="AH9" s="447"/>
      <c r="AJ9" s="447"/>
      <c r="AL9" s="447"/>
      <c r="AN9" s="447"/>
      <c r="AP9" s="447"/>
      <c r="AR9" s="447"/>
      <c r="AT9" s="447"/>
      <c r="AV9" s="447"/>
      <c r="AX9" s="447"/>
      <c r="AZ9" s="447"/>
      <c r="BB9" s="447"/>
      <c r="BD9" s="447"/>
      <c r="BF9" s="447"/>
      <c r="BH9" s="447"/>
      <c r="BJ9" s="447"/>
      <c r="BL9" s="447"/>
      <c r="BN9" s="447"/>
      <c r="BP9" s="447"/>
      <c r="BR9" s="447"/>
      <c r="BT9" s="447"/>
      <c r="BV9" s="447"/>
      <c r="BX9" s="447"/>
      <c r="BZ9" s="447"/>
      <c r="CB9" s="447"/>
      <c r="CD9" s="447"/>
      <c r="CF9" s="447"/>
      <c r="CH9" s="447"/>
      <c r="CJ9" s="447"/>
      <c r="CL9" s="447"/>
      <c r="CN9" s="447"/>
      <c r="CP9" s="447"/>
      <c r="CR9" s="447"/>
      <c r="CT9" s="447"/>
      <c r="CV9" s="447"/>
      <c r="CX9" s="447"/>
      <c r="CZ9" s="447"/>
      <c r="DB9" s="447"/>
      <c r="DD9" s="447"/>
      <c r="DF9" s="447"/>
      <c r="DH9" s="447"/>
      <c r="DJ9" s="447"/>
      <c r="DL9" s="447"/>
      <c r="DN9" s="447"/>
      <c r="DP9" s="447"/>
      <c r="DR9" s="447"/>
      <c r="DT9" s="447"/>
      <c r="DV9" s="447"/>
      <c r="DX9" s="447"/>
      <c r="DZ9" s="447"/>
      <c r="EB9" s="447"/>
      <c r="ED9" s="447"/>
      <c r="EF9" s="447"/>
      <c r="EH9" s="447"/>
      <c r="EJ9" s="447"/>
      <c r="EL9" s="447"/>
      <c r="EN9" s="447"/>
      <c r="EP9" s="447"/>
      <c r="ER9" s="447"/>
      <c r="ET9" s="447"/>
      <c r="EV9" s="447"/>
      <c r="EX9" s="447"/>
      <c r="EZ9" s="447"/>
      <c r="FB9" s="447"/>
      <c r="FD9" s="447"/>
      <c r="FF9" s="447"/>
      <c r="FH9" s="447"/>
      <c r="FJ9" s="447"/>
      <c r="FL9" s="447"/>
      <c r="FN9" s="447"/>
      <c r="FP9" s="447"/>
      <c r="FR9" s="447"/>
      <c r="FT9" s="447"/>
      <c r="FV9" s="447"/>
      <c r="FX9" s="447"/>
      <c r="FZ9" s="447"/>
      <c r="GB9" s="447"/>
      <c r="GD9" s="447"/>
      <c r="GF9" s="447"/>
      <c r="GH9" s="447"/>
      <c r="GJ9" s="447"/>
      <c r="GL9" s="447"/>
      <c r="GN9" s="447"/>
      <c r="GP9" s="447"/>
      <c r="GR9" s="447"/>
      <c r="GT9" s="447"/>
      <c r="GV9" s="447"/>
      <c r="GX9" s="447"/>
      <c r="GZ9" s="447"/>
      <c r="HB9" s="447"/>
      <c r="HD9" s="447"/>
      <c r="HF9" s="447"/>
      <c r="HH9" s="447"/>
      <c r="HJ9" s="447"/>
      <c r="HL9" s="447"/>
      <c r="HN9" s="447"/>
      <c r="HP9" s="447"/>
      <c r="HR9" s="447"/>
      <c r="HT9" s="447"/>
      <c r="HV9" s="447"/>
      <c r="HX9" s="447"/>
      <c r="HZ9" s="447"/>
      <c r="IB9" s="447"/>
      <c r="ID9" s="447"/>
      <c r="IF9" s="447"/>
      <c r="IH9" s="447"/>
      <c r="IJ9" s="447"/>
      <c r="IL9" s="447"/>
      <c r="IN9" s="447"/>
      <c r="IP9" s="447"/>
      <c r="IR9" s="447"/>
      <c r="IT9" s="447"/>
      <c r="IV9" s="447"/>
    </row>
    <row r="10" spans="1:256" s="431" customFormat="1" ht="21.75">
      <c r="A10" s="449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673"/>
      <c r="P10" s="673"/>
      <c r="Q10" s="673"/>
      <c r="R10" s="711"/>
      <c r="S10" s="711"/>
      <c r="T10" s="711"/>
      <c r="U10" s="711"/>
      <c r="V10" s="711"/>
      <c r="W10" s="451"/>
      <c r="X10" s="451"/>
      <c r="Z10" s="451"/>
      <c r="AB10" s="451"/>
      <c r="AD10" s="451"/>
      <c r="AF10" s="451"/>
      <c r="AH10" s="451"/>
      <c r="AJ10" s="451"/>
      <c r="AL10" s="451"/>
      <c r="AN10" s="451"/>
      <c r="AP10" s="451"/>
      <c r="AR10" s="451"/>
      <c r="AT10" s="451"/>
      <c r="AV10" s="451"/>
      <c r="AX10" s="451"/>
      <c r="AZ10" s="451"/>
      <c r="BB10" s="451"/>
      <c r="BD10" s="451"/>
      <c r="BF10" s="451"/>
      <c r="BH10" s="451"/>
      <c r="BJ10" s="451"/>
      <c r="BL10" s="451"/>
      <c r="BN10" s="451"/>
      <c r="BP10" s="451"/>
      <c r="BR10" s="451"/>
      <c r="BT10" s="451"/>
      <c r="BV10" s="451"/>
      <c r="BX10" s="451"/>
      <c r="BZ10" s="451"/>
      <c r="CB10" s="451"/>
      <c r="CD10" s="451"/>
      <c r="CF10" s="451"/>
      <c r="CH10" s="451"/>
      <c r="CJ10" s="451"/>
      <c r="CL10" s="451"/>
      <c r="CN10" s="451"/>
      <c r="CP10" s="451"/>
      <c r="CR10" s="451"/>
      <c r="CT10" s="451"/>
      <c r="CV10" s="451"/>
      <c r="CX10" s="451"/>
      <c r="CZ10" s="451"/>
      <c r="DB10" s="451"/>
      <c r="DD10" s="451"/>
      <c r="DF10" s="451"/>
      <c r="DH10" s="451"/>
      <c r="DJ10" s="451"/>
      <c r="DL10" s="451"/>
      <c r="DN10" s="451"/>
      <c r="DP10" s="451"/>
      <c r="DR10" s="451"/>
      <c r="DT10" s="451"/>
      <c r="DV10" s="451"/>
      <c r="DX10" s="451"/>
      <c r="DZ10" s="451"/>
      <c r="EB10" s="451"/>
      <c r="ED10" s="451"/>
      <c r="EF10" s="451"/>
      <c r="EH10" s="451"/>
      <c r="EJ10" s="451"/>
      <c r="EL10" s="451"/>
      <c r="EN10" s="451"/>
      <c r="EP10" s="451"/>
      <c r="ER10" s="451"/>
      <c r="ET10" s="451"/>
      <c r="EV10" s="451"/>
      <c r="EX10" s="451"/>
      <c r="EZ10" s="451"/>
      <c r="FB10" s="451"/>
      <c r="FD10" s="451"/>
      <c r="FF10" s="451"/>
      <c r="FH10" s="451"/>
      <c r="FJ10" s="451"/>
      <c r="FL10" s="451"/>
      <c r="FN10" s="451"/>
      <c r="FP10" s="451"/>
      <c r="FR10" s="451"/>
      <c r="FT10" s="451"/>
      <c r="FV10" s="451"/>
      <c r="FX10" s="451"/>
      <c r="FZ10" s="451"/>
      <c r="GB10" s="451"/>
      <c r="GD10" s="451"/>
      <c r="GF10" s="451"/>
      <c r="GH10" s="451"/>
      <c r="GJ10" s="451"/>
      <c r="GL10" s="451"/>
      <c r="GN10" s="451"/>
      <c r="GP10" s="451"/>
      <c r="GR10" s="451"/>
      <c r="GT10" s="451"/>
      <c r="GV10" s="451"/>
      <c r="GX10" s="451"/>
      <c r="GZ10" s="451"/>
      <c r="HB10" s="451"/>
      <c r="HD10" s="451"/>
      <c r="HF10" s="451"/>
      <c r="HH10" s="451"/>
      <c r="HJ10" s="451"/>
      <c r="HL10" s="451"/>
      <c r="HN10" s="451"/>
      <c r="HP10" s="451"/>
      <c r="HR10" s="451"/>
      <c r="HT10" s="451"/>
      <c r="HV10" s="451"/>
      <c r="HX10" s="451"/>
      <c r="HZ10" s="451"/>
      <c r="IB10" s="451"/>
      <c r="ID10" s="451"/>
      <c r="IF10" s="451"/>
      <c r="IH10" s="451"/>
      <c r="IJ10" s="451"/>
      <c r="IL10" s="451"/>
      <c r="IN10" s="451"/>
      <c r="IP10" s="451"/>
      <c r="IR10" s="451"/>
      <c r="IT10" s="451"/>
      <c r="IV10" s="451"/>
    </row>
    <row r="11" spans="1:256" ht="43.5" customHeight="1" thickBot="1">
      <c r="A11" s="452" t="s">
        <v>496</v>
      </c>
      <c r="B11" s="706" t="s">
        <v>497</v>
      </c>
      <c r="C11" s="706"/>
      <c r="D11" s="706"/>
      <c r="E11" s="706"/>
      <c r="F11" s="706"/>
      <c r="G11" s="706"/>
      <c r="H11" s="706"/>
      <c r="I11" s="706"/>
      <c r="J11" s="706"/>
      <c r="K11" s="707" t="s">
        <v>511</v>
      </c>
      <c r="L11" s="706"/>
      <c r="M11" s="706"/>
      <c r="N11" s="706"/>
      <c r="O11" s="706" t="s">
        <v>512</v>
      </c>
      <c r="P11" s="706"/>
      <c r="Q11" s="706"/>
      <c r="R11" s="708" t="s">
        <v>513</v>
      </c>
      <c r="S11" s="709"/>
      <c r="T11" s="709"/>
      <c r="U11" s="706" t="s">
        <v>502</v>
      </c>
      <c r="V11" s="706"/>
      <c r="W11" s="453"/>
      <c r="X11" s="453"/>
      <c r="Z11" s="453"/>
      <c r="AB11" s="453"/>
      <c r="AD11" s="453"/>
      <c r="AF11" s="453"/>
      <c r="AH11" s="453"/>
      <c r="AJ11" s="453"/>
      <c r="AL11" s="453"/>
      <c r="AN11" s="453"/>
      <c r="AP11" s="453"/>
      <c r="AR11" s="453"/>
      <c r="AT11" s="453"/>
      <c r="AV11" s="453"/>
      <c r="AX11" s="453"/>
      <c r="AZ11" s="453"/>
      <c r="BB11" s="453"/>
      <c r="BD11" s="453"/>
      <c r="BF11" s="453"/>
      <c r="BH11" s="453"/>
      <c r="BJ11" s="453"/>
      <c r="BL11" s="453"/>
      <c r="BN11" s="453"/>
      <c r="BP11" s="453"/>
      <c r="BR11" s="453"/>
      <c r="BT11" s="453"/>
      <c r="BV11" s="453"/>
      <c r="BX11" s="453"/>
      <c r="BZ11" s="453"/>
      <c r="CB11" s="453"/>
      <c r="CD11" s="453"/>
      <c r="CF11" s="453"/>
      <c r="CH11" s="453"/>
      <c r="CJ11" s="453"/>
      <c r="CL11" s="453"/>
      <c r="CN11" s="453"/>
      <c r="CP11" s="453"/>
      <c r="CR11" s="453"/>
      <c r="CT11" s="453"/>
      <c r="CV11" s="453"/>
      <c r="CX11" s="453"/>
      <c r="CZ11" s="453"/>
      <c r="DB11" s="453"/>
      <c r="DD11" s="453"/>
      <c r="DF11" s="453"/>
      <c r="DH11" s="453"/>
      <c r="DJ11" s="453"/>
      <c r="DL11" s="453"/>
      <c r="DN11" s="453"/>
      <c r="DP11" s="453"/>
      <c r="DR11" s="453"/>
      <c r="DT11" s="453"/>
      <c r="DV11" s="453"/>
      <c r="DX11" s="453"/>
      <c r="DZ11" s="453"/>
      <c r="EB11" s="453"/>
      <c r="ED11" s="453"/>
      <c r="EF11" s="453"/>
      <c r="EH11" s="453"/>
      <c r="EJ11" s="453"/>
      <c r="EL11" s="453"/>
      <c r="EN11" s="453"/>
      <c r="EP11" s="453"/>
      <c r="ER11" s="453"/>
      <c r="ET11" s="453"/>
      <c r="EV11" s="453"/>
      <c r="EX11" s="453"/>
      <c r="EZ11" s="453"/>
      <c r="FB11" s="453"/>
      <c r="FD11" s="453"/>
      <c r="FF11" s="453"/>
      <c r="FH11" s="453"/>
      <c r="FJ11" s="453"/>
      <c r="FL11" s="453"/>
      <c r="FN11" s="453"/>
      <c r="FP11" s="453"/>
      <c r="FR11" s="453"/>
      <c r="FT11" s="453"/>
      <c r="FV11" s="453"/>
      <c r="FX11" s="453"/>
      <c r="FZ11" s="453"/>
      <c r="GB11" s="453"/>
      <c r="GD11" s="453"/>
      <c r="GF11" s="453"/>
      <c r="GH11" s="453"/>
      <c r="GJ11" s="453"/>
      <c r="GL11" s="453"/>
      <c r="GN11" s="453"/>
      <c r="GP11" s="453"/>
      <c r="GR11" s="453"/>
      <c r="GT11" s="453"/>
      <c r="GV11" s="453"/>
      <c r="GX11" s="453"/>
      <c r="GZ11" s="453"/>
      <c r="HB11" s="453"/>
      <c r="HD11" s="453"/>
      <c r="HF11" s="453"/>
      <c r="HH11" s="453"/>
      <c r="HJ11" s="453"/>
      <c r="HL11" s="453"/>
      <c r="HN11" s="453"/>
      <c r="HP11" s="453"/>
      <c r="HR11" s="453"/>
      <c r="HT11" s="453"/>
      <c r="HV11" s="453"/>
      <c r="HX11" s="453"/>
      <c r="HZ11" s="453"/>
      <c r="IB11" s="453"/>
      <c r="ID11" s="453"/>
      <c r="IF11" s="453"/>
      <c r="IH11" s="453"/>
      <c r="IJ11" s="453"/>
      <c r="IL11" s="453"/>
      <c r="IN11" s="453"/>
      <c r="IP11" s="453"/>
      <c r="IR11" s="453"/>
      <c r="IT11" s="453"/>
      <c r="IV11" s="453"/>
    </row>
    <row r="12" spans="1:256" ht="22.5" thickTop="1">
      <c r="A12" s="454"/>
      <c r="B12" s="710"/>
      <c r="C12" s="710"/>
      <c r="D12" s="710"/>
      <c r="E12" s="710"/>
      <c r="F12" s="710"/>
      <c r="G12" s="710"/>
      <c r="H12" s="710"/>
      <c r="I12" s="710"/>
      <c r="J12" s="710"/>
      <c r="K12" s="665"/>
      <c r="L12" s="665"/>
      <c r="M12" s="665"/>
      <c r="N12" s="665"/>
      <c r="O12" s="666"/>
      <c r="P12" s="666"/>
      <c r="Q12" s="666"/>
      <c r="R12" s="668"/>
      <c r="S12" s="669"/>
      <c r="T12" s="670"/>
      <c r="U12" s="667"/>
      <c r="V12" s="667"/>
      <c r="W12" s="451"/>
      <c r="X12" s="451"/>
      <c r="Z12" s="451"/>
      <c r="AB12" s="451"/>
      <c r="AD12" s="451"/>
      <c r="AF12" s="451"/>
      <c r="AH12" s="451"/>
      <c r="AJ12" s="451"/>
      <c r="AL12" s="451"/>
      <c r="AN12" s="451"/>
      <c r="AP12" s="451"/>
      <c r="AR12" s="451"/>
      <c r="AT12" s="451"/>
      <c r="AV12" s="451"/>
      <c r="AX12" s="451"/>
      <c r="AZ12" s="451"/>
      <c r="BB12" s="451"/>
      <c r="BD12" s="451"/>
      <c r="BF12" s="451"/>
      <c r="BH12" s="451"/>
      <c r="BJ12" s="451"/>
      <c r="BL12" s="451"/>
      <c r="BN12" s="451"/>
      <c r="BP12" s="451"/>
      <c r="BR12" s="451"/>
      <c r="BT12" s="451"/>
      <c r="BV12" s="451"/>
      <c r="BX12" s="451"/>
      <c r="BZ12" s="451"/>
      <c r="CB12" s="451"/>
      <c r="CD12" s="451"/>
      <c r="CF12" s="451"/>
      <c r="CH12" s="451"/>
      <c r="CJ12" s="451"/>
      <c r="CL12" s="451"/>
      <c r="CN12" s="451"/>
      <c r="CP12" s="451"/>
      <c r="CR12" s="451"/>
      <c r="CT12" s="451"/>
      <c r="CV12" s="451"/>
      <c r="CX12" s="451"/>
      <c r="CZ12" s="451"/>
      <c r="DB12" s="451"/>
      <c r="DD12" s="451"/>
      <c r="DF12" s="451"/>
      <c r="DH12" s="451"/>
      <c r="DJ12" s="451"/>
      <c r="DL12" s="451"/>
      <c r="DN12" s="451"/>
      <c r="DP12" s="451"/>
      <c r="DR12" s="451"/>
      <c r="DT12" s="451"/>
      <c r="DV12" s="451"/>
      <c r="DX12" s="451"/>
      <c r="DZ12" s="451"/>
      <c r="EB12" s="451"/>
      <c r="ED12" s="451"/>
      <c r="EF12" s="451"/>
      <c r="EH12" s="451"/>
      <c r="EJ12" s="451"/>
      <c r="EL12" s="451"/>
      <c r="EN12" s="451"/>
      <c r="EP12" s="451"/>
      <c r="ER12" s="451"/>
      <c r="ET12" s="451"/>
      <c r="EV12" s="451"/>
      <c r="EX12" s="451"/>
      <c r="EZ12" s="451"/>
      <c r="FB12" s="451"/>
      <c r="FD12" s="451"/>
      <c r="FF12" s="451"/>
      <c r="FH12" s="451"/>
      <c r="FJ12" s="451"/>
      <c r="FL12" s="451"/>
      <c r="FN12" s="451"/>
      <c r="FP12" s="451"/>
      <c r="FR12" s="451"/>
      <c r="FT12" s="451"/>
      <c r="FV12" s="451"/>
      <c r="FX12" s="451"/>
      <c r="FZ12" s="451"/>
      <c r="GB12" s="451"/>
      <c r="GD12" s="451"/>
      <c r="GF12" s="451"/>
      <c r="GH12" s="451"/>
      <c r="GJ12" s="451"/>
      <c r="GL12" s="451"/>
      <c r="GN12" s="451"/>
      <c r="GP12" s="451"/>
      <c r="GR12" s="451"/>
      <c r="GT12" s="451"/>
      <c r="GV12" s="451"/>
      <c r="GX12" s="451"/>
      <c r="GZ12" s="451"/>
      <c r="HB12" s="451"/>
      <c r="HD12" s="451"/>
      <c r="HF12" s="451"/>
      <c r="HH12" s="451"/>
      <c r="HJ12" s="451"/>
      <c r="HL12" s="451"/>
      <c r="HN12" s="451"/>
      <c r="HP12" s="451"/>
      <c r="HR12" s="451"/>
      <c r="HT12" s="451"/>
      <c r="HV12" s="451"/>
      <c r="HX12" s="451"/>
      <c r="HZ12" s="451"/>
      <c r="IB12" s="451"/>
      <c r="ID12" s="451"/>
      <c r="IF12" s="451"/>
      <c r="IH12" s="451"/>
      <c r="IJ12" s="451"/>
      <c r="IL12" s="451"/>
      <c r="IN12" s="451"/>
      <c r="IP12" s="451"/>
      <c r="IR12" s="451"/>
      <c r="IT12" s="451"/>
      <c r="IV12" s="451"/>
    </row>
    <row r="13" spans="1:256" ht="24">
      <c r="A13" s="594">
        <v>1</v>
      </c>
      <c r="B13" s="494" t="s">
        <v>918</v>
      </c>
      <c r="C13" s="455"/>
      <c r="D13" s="456"/>
      <c r="E13" s="456"/>
      <c r="F13" s="456"/>
      <c r="G13" s="456"/>
      <c r="H13" s="456"/>
      <c r="I13" s="456"/>
      <c r="J13" s="457"/>
      <c r="K13" s="715">
        <f>'ปร.4'!I31</f>
        <v>0</v>
      </c>
      <c r="L13" s="715"/>
      <c r="M13" s="715"/>
      <c r="N13" s="715"/>
      <c r="O13" s="666">
        <v>1.2698</v>
      </c>
      <c r="P13" s="666"/>
      <c r="Q13" s="666"/>
      <c r="R13" s="712">
        <f>K13*O13</f>
        <v>0</v>
      </c>
      <c r="S13" s="713"/>
      <c r="T13" s="714"/>
      <c r="U13" s="667"/>
      <c r="V13" s="667"/>
      <c r="W13" s="451"/>
      <c r="X13" s="451"/>
      <c r="Z13" s="451"/>
      <c r="AB13" s="451"/>
      <c r="AD13" s="451"/>
      <c r="AF13" s="451"/>
      <c r="AH13" s="451"/>
      <c r="AJ13" s="451"/>
      <c r="AL13" s="451"/>
      <c r="AN13" s="451"/>
      <c r="AP13" s="451"/>
      <c r="AR13" s="451"/>
      <c r="AT13" s="451"/>
      <c r="AV13" s="451"/>
      <c r="AX13" s="451"/>
      <c r="AZ13" s="451"/>
      <c r="BB13" s="451"/>
      <c r="BD13" s="451"/>
      <c r="BF13" s="451"/>
      <c r="BH13" s="451"/>
      <c r="BJ13" s="451"/>
      <c r="BL13" s="451"/>
      <c r="BN13" s="451"/>
      <c r="BP13" s="451"/>
      <c r="BR13" s="451"/>
      <c r="BT13" s="451"/>
      <c r="BV13" s="451"/>
      <c r="BX13" s="451"/>
      <c r="BZ13" s="451"/>
      <c r="CB13" s="451"/>
      <c r="CD13" s="451"/>
      <c r="CF13" s="451"/>
      <c r="CH13" s="451"/>
      <c r="CJ13" s="451"/>
      <c r="CL13" s="451"/>
      <c r="CN13" s="451"/>
      <c r="CP13" s="451"/>
      <c r="CR13" s="451"/>
      <c r="CT13" s="451"/>
      <c r="CV13" s="451"/>
      <c r="CX13" s="451"/>
      <c r="CZ13" s="451"/>
      <c r="DB13" s="451"/>
      <c r="DD13" s="451"/>
      <c r="DF13" s="451"/>
      <c r="DH13" s="451"/>
      <c r="DJ13" s="451"/>
      <c r="DL13" s="451"/>
      <c r="DN13" s="451"/>
      <c r="DP13" s="451"/>
      <c r="DR13" s="451"/>
      <c r="DT13" s="451"/>
      <c r="DV13" s="451"/>
      <c r="DX13" s="451"/>
      <c r="DZ13" s="451"/>
      <c r="EB13" s="451"/>
      <c r="ED13" s="451"/>
      <c r="EF13" s="451"/>
      <c r="EH13" s="451"/>
      <c r="EJ13" s="451"/>
      <c r="EL13" s="451"/>
      <c r="EN13" s="451"/>
      <c r="EP13" s="451"/>
      <c r="ER13" s="451"/>
      <c r="ET13" s="451"/>
      <c r="EV13" s="451"/>
      <c r="EX13" s="451"/>
      <c r="EZ13" s="451"/>
      <c r="FB13" s="451"/>
      <c r="FD13" s="451"/>
      <c r="FF13" s="451"/>
      <c r="FH13" s="451"/>
      <c r="FJ13" s="451"/>
      <c r="FL13" s="451"/>
      <c r="FN13" s="451"/>
      <c r="FP13" s="451"/>
      <c r="FR13" s="451"/>
      <c r="FT13" s="451"/>
      <c r="FV13" s="451"/>
      <c r="FX13" s="451"/>
      <c r="FZ13" s="451"/>
      <c r="GB13" s="451"/>
      <c r="GD13" s="451"/>
      <c r="GF13" s="451"/>
      <c r="GH13" s="451"/>
      <c r="GJ13" s="451"/>
      <c r="GL13" s="451"/>
      <c r="GN13" s="451"/>
      <c r="GP13" s="451"/>
      <c r="GR13" s="451"/>
      <c r="GT13" s="451"/>
      <c r="GV13" s="451"/>
      <c r="GX13" s="451"/>
      <c r="GZ13" s="451"/>
      <c r="HB13" s="451"/>
      <c r="HD13" s="451"/>
      <c r="HF13" s="451"/>
      <c r="HH13" s="451"/>
      <c r="HJ13" s="451"/>
      <c r="HL13" s="451"/>
      <c r="HN13" s="451"/>
      <c r="HP13" s="451"/>
      <c r="HR13" s="451"/>
      <c r="HT13" s="451"/>
      <c r="HV13" s="451"/>
      <c r="HX13" s="451"/>
      <c r="HZ13" s="451"/>
      <c r="IB13" s="451"/>
      <c r="ID13" s="451"/>
      <c r="IF13" s="451"/>
      <c r="IH13" s="451"/>
      <c r="IJ13" s="451"/>
      <c r="IL13" s="451"/>
      <c r="IN13" s="451"/>
      <c r="IP13" s="451"/>
      <c r="IR13" s="451"/>
      <c r="IT13" s="451"/>
      <c r="IV13" s="451"/>
    </row>
    <row r="14" spans="1:256" ht="24">
      <c r="A14" s="458"/>
      <c r="B14" s="459"/>
      <c r="C14" s="460"/>
      <c r="D14" s="461"/>
      <c r="E14" s="461"/>
      <c r="F14" s="461"/>
      <c r="G14" s="461"/>
      <c r="H14" s="461"/>
      <c r="I14" s="461"/>
      <c r="J14" s="462"/>
      <c r="K14" s="665"/>
      <c r="L14" s="665"/>
      <c r="M14" s="665"/>
      <c r="N14" s="665"/>
      <c r="O14" s="666"/>
      <c r="P14" s="666"/>
      <c r="Q14" s="666"/>
      <c r="R14" s="668"/>
      <c r="S14" s="669"/>
      <c r="T14" s="670"/>
      <c r="U14" s="667"/>
      <c r="V14" s="667"/>
      <c r="W14" s="451"/>
      <c r="X14" s="451"/>
      <c r="Z14" s="451"/>
      <c r="AB14" s="451"/>
      <c r="AD14" s="451"/>
      <c r="AF14" s="451"/>
      <c r="AH14" s="451"/>
      <c r="AJ14" s="451"/>
      <c r="AL14" s="451"/>
      <c r="AN14" s="451"/>
      <c r="AP14" s="451"/>
      <c r="AR14" s="451"/>
      <c r="AT14" s="451"/>
      <c r="AV14" s="451"/>
      <c r="AX14" s="451"/>
      <c r="AZ14" s="451"/>
      <c r="BB14" s="451"/>
      <c r="BD14" s="451"/>
      <c r="BF14" s="451"/>
      <c r="BH14" s="451"/>
      <c r="BJ14" s="451"/>
      <c r="BL14" s="451"/>
      <c r="BN14" s="451"/>
      <c r="BP14" s="451"/>
      <c r="BR14" s="451"/>
      <c r="BT14" s="451"/>
      <c r="BV14" s="451"/>
      <c r="BX14" s="451"/>
      <c r="BZ14" s="451"/>
      <c r="CB14" s="451"/>
      <c r="CD14" s="451"/>
      <c r="CF14" s="451"/>
      <c r="CH14" s="451"/>
      <c r="CJ14" s="451"/>
      <c r="CL14" s="451"/>
      <c r="CN14" s="451"/>
      <c r="CP14" s="451"/>
      <c r="CR14" s="451"/>
      <c r="CT14" s="451"/>
      <c r="CV14" s="451"/>
      <c r="CX14" s="451"/>
      <c r="CZ14" s="451"/>
      <c r="DB14" s="451"/>
      <c r="DD14" s="451"/>
      <c r="DF14" s="451"/>
      <c r="DH14" s="451"/>
      <c r="DJ14" s="451"/>
      <c r="DL14" s="451"/>
      <c r="DN14" s="451"/>
      <c r="DP14" s="451"/>
      <c r="DR14" s="451"/>
      <c r="DT14" s="451"/>
      <c r="DV14" s="451"/>
      <c r="DX14" s="451"/>
      <c r="DZ14" s="451"/>
      <c r="EB14" s="451"/>
      <c r="ED14" s="451"/>
      <c r="EF14" s="451"/>
      <c r="EH14" s="451"/>
      <c r="EJ14" s="451"/>
      <c r="EL14" s="451"/>
      <c r="EN14" s="451"/>
      <c r="EP14" s="451"/>
      <c r="ER14" s="451"/>
      <c r="ET14" s="451"/>
      <c r="EV14" s="451"/>
      <c r="EX14" s="451"/>
      <c r="EZ14" s="451"/>
      <c r="FB14" s="451"/>
      <c r="FD14" s="451"/>
      <c r="FF14" s="451"/>
      <c r="FH14" s="451"/>
      <c r="FJ14" s="451"/>
      <c r="FL14" s="451"/>
      <c r="FN14" s="451"/>
      <c r="FP14" s="451"/>
      <c r="FR14" s="451"/>
      <c r="FT14" s="451"/>
      <c r="FV14" s="451"/>
      <c r="FX14" s="451"/>
      <c r="FZ14" s="451"/>
      <c r="GB14" s="451"/>
      <c r="GD14" s="451"/>
      <c r="GF14" s="451"/>
      <c r="GH14" s="451"/>
      <c r="GJ14" s="451"/>
      <c r="GL14" s="451"/>
      <c r="GN14" s="451"/>
      <c r="GP14" s="451"/>
      <c r="GR14" s="451"/>
      <c r="GT14" s="451"/>
      <c r="GV14" s="451"/>
      <c r="GX14" s="451"/>
      <c r="GZ14" s="451"/>
      <c r="HB14" s="451"/>
      <c r="HD14" s="451"/>
      <c r="HF14" s="451"/>
      <c r="HH14" s="451"/>
      <c r="HJ14" s="451"/>
      <c r="HL14" s="451"/>
      <c r="HN14" s="451"/>
      <c r="HP14" s="451"/>
      <c r="HR14" s="451"/>
      <c r="HT14" s="451"/>
      <c r="HV14" s="451"/>
      <c r="HX14" s="451"/>
      <c r="HZ14" s="451"/>
      <c r="IB14" s="451"/>
      <c r="ID14" s="451"/>
      <c r="IF14" s="451"/>
      <c r="IH14" s="451"/>
      <c r="IJ14" s="451"/>
      <c r="IL14" s="451"/>
      <c r="IN14" s="451"/>
      <c r="IP14" s="451"/>
      <c r="IR14" s="451"/>
      <c r="IT14" s="451"/>
      <c r="IV14" s="451"/>
    </row>
    <row r="15" spans="1:256" ht="21.75">
      <c r="A15" s="458"/>
      <c r="B15" s="664"/>
      <c r="C15" s="664"/>
      <c r="D15" s="664"/>
      <c r="E15" s="664"/>
      <c r="F15" s="664"/>
      <c r="G15" s="664"/>
      <c r="H15" s="664"/>
      <c r="I15" s="664"/>
      <c r="J15" s="664"/>
      <c r="K15" s="665"/>
      <c r="L15" s="665"/>
      <c r="M15" s="665"/>
      <c r="N15" s="665"/>
      <c r="O15" s="666"/>
      <c r="P15" s="666"/>
      <c r="Q15" s="666"/>
      <c r="R15" s="668"/>
      <c r="S15" s="669"/>
      <c r="T15" s="670"/>
      <c r="U15" s="667"/>
      <c r="V15" s="667"/>
      <c r="W15" s="451"/>
      <c r="X15" s="451"/>
      <c r="Z15" s="451"/>
      <c r="AB15" s="451"/>
      <c r="AD15" s="451"/>
      <c r="AF15" s="451"/>
      <c r="AH15" s="451"/>
      <c r="AJ15" s="451"/>
      <c r="AL15" s="451"/>
      <c r="AN15" s="451"/>
      <c r="AP15" s="451"/>
      <c r="AR15" s="451"/>
      <c r="AT15" s="451"/>
      <c r="AV15" s="451"/>
      <c r="AX15" s="451"/>
      <c r="AZ15" s="451"/>
      <c r="BB15" s="451"/>
      <c r="BD15" s="451"/>
      <c r="BF15" s="451"/>
      <c r="BH15" s="451"/>
      <c r="BJ15" s="451"/>
      <c r="BL15" s="451"/>
      <c r="BN15" s="451"/>
      <c r="BP15" s="451"/>
      <c r="BR15" s="451"/>
      <c r="BT15" s="451"/>
      <c r="BV15" s="451"/>
      <c r="BX15" s="451"/>
      <c r="BZ15" s="451"/>
      <c r="CB15" s="451"/>
      <c r="CD15" s="451"/>
      <c r="CF15" s="451"/>
      <c r="CH15" s="451"/>
      <c r="CJ15" s="451"/>
      <c r="CL15" s="451"/>
      <c r="CN15" s="451"/>
      <c r="CP15" s="451"/>
      <c r="CR15" s="451"/>
      <c r="CT15" s="451"/>
      <c r="CV15" s="451"/>
      <c r="CX15" s="451"/>
      <c r="CZ15" s="451"/>
      <c r="DB15" s="451"/>
      <c r="DD15" s="451"/>
      <c r="DF15" s="451"/>
      <c r="DH15" s="451"/>
      <c r="DJ15" s="451"/>
      <c r="DL15" s="451"/>
      <c r="DN15" s="451"/>
      <c r="DP15" s="451"/>
      <c r="DR15" s="451"/>
      <c r="DT15" s="451"/>
      <c r="DV15" s="451"/>
      <c r="DX15" s="451"/>
      <c r="DZ15" s="451"/>
      <c r="EB15" s="451"/>
      <c r="ED15" s="451"/>
      <c r="EF15" s="451"/>
      <c r="EH15" s="451"/>
      <c r="EJ15" s="451"/>
      <c r="EL15" s="451"/>
      <c r="EN15" s="451"/>
      <c r="EP15" s="451"/>
      <c r="ER15" s="451"/>
      <c r="ET15" s="451"/>
      <c r="EV15" s="451"/>
      <c r="EX15" s="451"/>
      <c r="EZ15" s="451"/>
      <c r="FB15" s="451"/>
      <c r="FD15" s="451"/>
      <c r="FF15" s="451"/>
      <c r="FH15" s="451"/>
      <c r="FJ15" s="451"/>
      <c r="FL15" s="451"/>
      <c r="FN15" s="451"/>
      <c r="FP15" s="451"/>
      <c r="FR15" s="451"/>
      <c r="FT15" s="451"/>
      <c r="FV15" s="451"/>
      <c r="FX15" s="451"/>
      <c r="FZ15" s="451"/>
      <c r="GB15" s="451"/>
      <c r="GD15" s="451"/>
      <c r="GF15" s="451"/>
      <c r="GH15" s="451"/>
      <c r="GJ15" s="451"/>
      <c r="GL15" s="451"/>
      <c r="GN15" s="451"/>
      <c r="GP15" s="451"/>
      <c r="GR15" s="451"/>
      <c r="GT15" s="451"/>
      <c r="GV15" s="451"/>
      <c r="GX15" s="451"/>
      <c r="GZ15" s="451"/>
      <c r="HB15" s="451"/>
      <c r="HD15" s="451"/>
      <c r="HF15" s="451"/>
      <c r="HH15" s="451"/>
      <c r="HJ15" s="451"/>
      <c r="HL15" s="451"/>
      <c r="HN15" s="451"/>
      <c r="HP15" s="451"/>
      <c r="HR15" s="451"/>
      <c r="HT15" s="451"/>
      <c r="HV15" s="451"/>
      <c r="HX15" s="451"/>
      <c r="HZ15" s="451"/>
      <c r="IB15" s="451"/>
      <c r="ID15" s="451"/>
      <c r="IF15" s="451"/>
      <c r="IH15" s="451"/>
      <c r="IJ15" s="451"/>
      <c r="IL15" s="451"/>
      <c r="IN15" s="451"/>
      <c r="IP15" s="451"/>
      <c r="IR15" s="451"/>
      <c r="IT15" s="451"/>
      <c r="IV15" s="451"/>
    </row>
    <row r="16" spans="1:256" ht="21.75">
      <c r="A16" s="458"/>
      <c r="B16" s="664"/>
      <c r="C16" s="664"/>
      <c r="D16" s="664"/>
      <c r="E16" s="664"/>
      <c r="F16" s="664"/>
      <c r="G16" s="664"/>
      <c r="H16" s="664"/>
      <c r="I16" s="664"/>
      <c r="J16" s="664"/>
      <c r="K16" s="665"/>
      <c r="L16" s="665"/>
      <c r="M16" s="665"/>
      <c r="N16" s="665"/>
      <c r="O16" s="666"/>
      <c r="P16" s="666"/>
      <c r="Q16" s="666"/>
      <c r="R16" s="668"/>
      <c r="S16" s="669"/>
      <c r="T16" s="670"/>
      <c r="U16" s="667"/>
      <c r="V16" s="667"/>
      <c r="W16" s="451"/>
      <c r="X16" s="451"/>
      <c r="Z16" s="451"/>
      <c r="AB16" s="451"/>
      <c r="AD16" s="451"/>
      <c r="AF16" s="451"/>
      <c r="AH16" s="451"/>
      <c r="AJ16" s="451"/>
      <c r="AL16" s="451"/>
      <c r="AN16" s="451"/>
      <c r="AP16" s="451"/>
      <c r="AR16" s="451"/>
      <c r="AT16" s="451"/>
      <c r="AV16" s="451"/>
      <c r="AX16" s="451"/>
      <c r="AZ16" s="451"/>
      <c r="BB16" s="451"/>
      <c r="BD16" s="451"/>
      <c r="BF16" s="451"/>
      <c r="BH16" s="451"/>
      <c r="BJ16" s="451"/>
      <c r="BL16" s="451"/>
      <c r="BN16" s="451"/>
      <c r="BP16" s="451"/>
      <c r="BR16" s="451"/>
      <c r="BT16" s="451"/>
      <c r="BV16" s="451"/>
      <c r="BX16" s="451"/>
      <c r="BZ16" s="451"/>
      <c r="CB16" s="451"/>
      <c r="CD16" s="451"/>
      <c r="CF16" s="451"/>
      <c r="CH16" s="451"/>
      <c r="CJ16" s="451"/>
      <c r="CL16" s="451"/>
      <c r="CN16" s="451"/>
      <c r="CP16" s="451"/>
      <c r="CR16" s="451"/>
      <c r="CT16" s="451"/>
      <c r="CV16" s="451"/>
      <c r="CX16" s="451"/>
      <c r="CZ16" s="451"/>
      <c r="DB16" s="451"/>
      <c r="DD16" s="451"/>
      <c r="DF16" s="451"/>
      <c r="DH16" s="451"/>
      <c r="DJ16" s="451"/>
      <c r="DL16" s="451"/>
      <c r="DN16" s="451"/>
      <c r="DP16" s="451"/>
      <c r="DR16" s="451"/>
      <c r="DT16" s="451"/>
      <c r="DV16" s="451"/>
      <c r="DX16" s="451"/>
      <c r="DZ16" s="451"/>
      <c r="EB16" s="451"/>
      <c r="ED16" s="451"/>
      <c r="EF16" s="451"/>
      <c r="EH16" s="451"/>
      <c r="EJ16" s="451"/>
      <c r="EL16" s="451"/>
      <c r="EN16" s="451"/>
      <c r="EP16" s="451"/>
      <c r="ER16" s="451"/>
      <c r="ET16" s="451"/>
      <c r="EV16" s="451"/>
      <c r="EX16" s="451"/>
      <c r="EZ16" s="451"/>
      <c r="FB16" s="451"/>
      <c r="FD16" s="451"/>
      <c r="FF16" s="451"/>
      <c r="FH16" s="451"/>
      <c r="FJ16" s="451"/>
      <c r="FL16" s="451"/>
      <c r="FN16" s="451"/>
      <c r="FP16" s="451"/>
      <c r="FR16" s="451"/>
      <c r="FT16" s="451"/>
      <c r="FV16" s="451"/>
      <c r="FX16" s="451"/>
      <c r="FZ16" s="451"/>
      <c r="GB16" s="451"/>
      <c r="GD16" s="451"/>
      <c r="GF16" s="451"/>
      <c r="GH16" s="451"/>
      <c r="GJ16" s="451"/>
      <c r="GL16" s="451"/>
      <c r="GN16" s="451"/>
      <c r="GP16" s="451"/>
      <c r="GR16" s="451"/>
      <c r="GT16" s="451"/>
      <c r="GV16" s="451"/>
      <c r="GX16" s="451"/>
      <c r="GZ16" s="451"/>
      <c r="HB16" s="451"/>
      <c r="HD16" s="451"/>
      <c r="HF16" s="451"/>
      <c r="HH16" s="451"/>
      <c r="HJ16" s="451"/>
      <c r="HL16" s="451"/>
      <c r="HN16" s="451"/>
      <c r="HP16" s="451"/>
      <c r="HR16" s="451"/>
      <c r="HT16" s="451"/>
      <c r="HV16" s="451"/>
      <c r="HX16" s="451"/>
      <c r="HZ16" s="451"/>
      <c r="IB16" s="451"/>
      <c r="ID16" s="451"/>
      <c r="IF16" s="451"/>
      <c r="IH16" s="451"/>
      <c r="IJ16" s="451"/>
      <c r="IL16" s="451"/>
      <c r="IN16" s="451"/>
      <c r="IP16" s="451"/>
      <c r="IR16" s="451"/>
      <c r="IT16" s="451"/>
      <c r="IV16" s="451"/>
    </row>
    <row r="17" spans="1:256" ht="21.75">
      <c r="A17" s="458"/>
      <c r="B17" s="664"/>
      <c r="C17" s="664"/>
      <c r="D17" s="664"/>
      <c r="E17" s="664"/>
      <c r="F17" s="664"/>
      <c r="G17" s="664"/>
      <c r="H17" s="664"/>
      <c r="I17" s="664"/>
      <c r="J17" s="664"/>
      <c r="K17" s="665"/>
      <c r="L17" s="665"/>
      <c r="M17" s="665"/>
      <c r="N17" s="665"/>
      <c r="O17" s="666"/>
      <c r="P17" s="666"/>
      <c r="Q17" s="666"/>
      <c r="R17" s="668"/>
      <c r="S17" s="669"/>
      <c r="T17" s="670"/>
      <c r="U17" s="667"/>
      <c r="V17" s="667"/>
      <c r="W17" s="451"/>
      <c r="X17" s="451"/>
      <c r="Z17" s="451"/>
      <c r="AB17" s="451"/>
      <c r="AD17" s="451"/>
      <c r="AF17" s="451"/>
      <c r="AH17" s="451"/>
      <c r="AJ17" s="451"/>
      <c r="AL17" s="451"/>
      <c r="AN17" s="451"/>
      <c r="AP17" s="451"/>
      <c r="AR17" s="451"/>
      <c r="AT17" s="451"/>
      <c r="AV17" s="451"/>
      <c r="AX17" s="451"/>
      <c r="AZ17" s="451"/>
      <c r="BB17" s="451"/>
      <c r="BD17" s="451"/>
      <c r="BF17" s="451"/>
      <c r="BH17" s="451"/>
      <c r="BJ17" s="451"/>
      <c r="BL17" s="451"/>
      <c r="BN17" s="451"/>
      <c r="BP17" s="451"/>
      <c r="BR17" s="451"/>
      <c r="BT17" s="451"/>
      <c r="BV17" s="451"/>
      <c r="BX17" s="451"/>
      <c r="BZ17" s="451"/>
      <c r="CB17" s="451"/>
      <c r="CD17" s="451"/>
      <c r="CF17" s="451"/>
      <c r="CH17" s="451"/>
      <c r="CJ17" s="451"/>
      <c r="CL17" s="451"/>
      <c r="CN17" s="451"/>
      <c r="CP17" s="451"/>
      <c r="CR17" s="451"/>
      <c r="CT17" s="451"/>
      <c r="CV17" s="451"/>
      <c r="CX17" s="451"/>
      <c r="CZ17" s="451"/>
      <c r="DB17" s="451"/>
      <c r="DD17" s="451"/>
      <c r="DF17" s="451"/>
      <c r="DH17" s="451"/>
      <c r="DJ17" s="451"/>
      <c r="DL17" s="451"/>
      <c r="DN17" s="451"/>
      <c r="DP17" s="451"/>
      <c r="DR17" s="451"/>
      <c r="DT17" s="451"/>
      <c r="DV17" s="451"/>
      <c r="DX17" s="451"/>
      <c r="DZ17" s="451"/>
      <c r="EB17" s="451"/>
      <c r="ED17" s="451"/>
      <c r="EF17" s="451"/>
      <c r="EH17" s="451"/>
      <c r="EJ17" s="451"/>
      <c r="EL17" s="451"/>
      <c r="EN17" s="451"/>
      <c r="EP17" s="451"/>
      <c r="ER17" s="451"/>
      <c r="ET17" s="451"/>
      <c r="EV17" s="451"/>
      <c r="EX17" s="451"/>
      <c r="EZ17" s="451"/>
      <c r="FB17" s="451"/>
      <c r="FD17" s="451"/>
      <c r="FF17" s="451"/>
      <c r="FH17" s="451"/>
      <c r="FJ17" s="451"/>
      <c r="FL17" s="451"/>
      <c r="FN17" s="451"/>
      <c r="FP17" s="451"/>
      <c r="FR17" s="451"/>
      <c r="FT17" s="451"/>
      <c r="FV17" s="451"/>
      <c r="FX17" s="451"/>
      <c r="FZ17" s="451"/>
      <c r="GB17" s="451"/>
      <c r="GD17" s="451"/>
      <c r="GF17" s="451"/>
      <c r="GH17" s="451"/>
      <c r="GJ17" s="451"/>
      <c r="GL17" s="451"/>
      <c r="GN17" s="451"/>
      <c r="GP17" s="451"/>
      <c r="GR17" s="451"/>
      <c r="GT17" s="451"/>
      <c r="GV17" s="451"/>
      <c r="GX17" s="451"/>
      <c r="GZ17" s="451"/>
      <c r="HB17" s="451"/>
      <c r="HD17" s="451"/>
      <c r="HF17" s="451"/>
      <c r="HH17" s="451"/>
      <c r="HJ17" s="451"/>
      <c r="HL17" s="451"/>
      <c r="HN17" s="451"/>
      <c r="HP17" s="451"/>
      <c r="HR17" s="451"/>
      <c r="HT17" s="451"/>
      <c r="HV17" s="451"/>
      <c r="HX17" s="451"/>
      <c r="HZ17" s="451"/>
      <c r="IB17" s="451"/>
      <c r="ID17" s="451"/>
      <c r="IF17" s="451"/>
      <c r="IH17" s="451"/>
      <c r="IJ17" s="451"/>
      <c r="IL17" s="451"/>
      <c r="IN17" s="451"/>
      <c r="IP17" s="451"/>
      <c r="IR17" s="451"/>
      <c r="IT17" s="451"/>
      <c r="IV17" s="451"/>
    </row>
    <row r="18" spans="1:256" ht="21.75">
      <c r="A18" s="458"/>
      <c r="B18" s="727" t="s">
        <v>514</v>
      </c>
      <c r="C18" s="728"/>
      <c r="D18" s="728"/>
      <c r="E18" s="728"/>
      <c r="F18" s="728"/>
      <c r="G18" s="728"/>
      <c r="H18" s="728"/>
      <c r="I18" s="728"/>
      <c r="J18" s="729"/>
      <c r="K18" s="665"/>
      <c r="L18" s="665"/>
      <c r="M18" s="665"/>
      <c r="N18" s="665"/>
      <c r="O18" s="666"/>
      <c r="P18" s="666"/>
      <c r="Q18" s="666"/>
      <c r="R18" s="668"/>
      <c r="S18" s="669"/>
      <c r="T18" s="670"/>
      <c r="U18" s="667"/>
      <c r="V18" s="667"/>
      <c r="W18" s="451"/>
      <c r="X18" s="451"/>
      <c r="Z18" s="451"/>
      <c r="AB18" s="451"/>
      <c r="AD18" s="451"/>
      <c r="AF18" s="451"/>
      <c r="AH18" s="451"/>
      <c r="AJ18" s="451"/>
      <c r="AL18" s="451"/>
      <c r="AN18" s="451"/>
      <c r="AP18" s="451"/>
      <c r="AR18" s="451"/>
      <c r="AT18" s="451"/>
      <c r="AV18" s="451"/>
      <c r="AX18" s="451"/>
      <c r="AZ18" s="451"/>
      <c r="BB18" s="451"/>
      <c r="BD18" s="451"/>
      <c r="BF18" s="451"/>
      <c r="BH18" s="451"/>
      <c r="BJ18" s="451"/>
      <c r="BL18" s="451"/>
      <c r="BN18" s="451"/>
      <c r="BP18" s="451"/>
      <c r="BR18" s="451"/>
      <c r="BT18" s="451"/>
      <c r="BV18" s="451"/>
      <c r="BX18" s="451"/>
      <c r="BZ18" s="451"/>
      <c r="CB18" s="451"/>
      <c r="CD18" s="451"/>
      <c r="CF18" s="451"/>
      <c r="CH18" s="451"/>
      <c r="CJ18" s="451"/>
      <c r="CL18" s="451"/>
      <c r="CN18" s="451"/>
      <c r="CP18" s="451"/>
      <c r="CR18" s="451"/>
      <c r="CT18" s="451"/>
      <c r="CV18" s="451"/>
      <c r="CX18" s="451"/>
      <c r="CZ18" s="451"/>
      <c r="DB18" s="451"/>
      <c r="DD18" s="451"/>
      <c r="DF18" s="451"/>
      <c r="DH18" s="451"/>
      <c r="DJ18" s="451"/>
      <c r="DL18" s="451"/>
      <c r="DN18" s="451"/>
      <c r="DP18" s="451"/>
      <c r="DR18" s="451"/>
      <c r="DT18" s="451"/>
      <c r="DV18" s="451"/>
      <c r="DX18" s="451"/>
      <c r="DZ18" s="451"/>
      <c r="EB18" s="451"/>
      <c r="ED18" s="451"/>
      <c r="EF18" s="451"/>
      <c r="EH18" s="451"/>
      <c r="EJ18" s="451"/>
      <c r="EL18" s="451"/>
      <c r="EN18" s="451"/>
      <c r="EP18" s="451"/>
      <c r="ER18" s="451"/>
      <c r="ET18" s="451"/>
      <c r="EV18" s="451"/>
      <c r="EX18" s="451"/>
      <c r="EZ18" s="451"/>
      <c r="FB18" s="451"/>
      <c r="FD18" s="451"/>
      <c r="FF18" s="451"/>
      <c r="FH18" s="451"/>
      <c r="FJ18" s="451"/>
      <c r="FL18" s="451"/>
      <c r="FN18" s="451"/>
      <c r="FP18" s="451"/>
      <c r="FR18" s="451"/>
      <c r="FT18" s="451"/>
      <c r="FV18" s="451"/>
      <c r="FX18" s="451"/>
      <c r="FZ18" s="451"/>
      <c r="GB18" s="451"/>
      <c r="GD18" s="451"/>
      <c r="GF18" s="451"/>
      <c r="GH18" s="451"/>
      <c r="GJ18" s="451"/>
      <c r="GL18" s="451"/>
      <c r="GN18" s="451"/>
      <c r="GP18" s="451"/>
      <c r="GR18" s="451"/>
      <c r="GT18" s="451"/>
      <c r="GV18" s="451"/>
      <c r="GX18" s="451"/>
      <c r="GZ18" s="451"/>
      <c r="HB18" s="451"/>
      <c r="HD18" s="451"/>
      <c r="HF18" s="451"/>
      <c r="HH18" s="451"/>
      <c r="HJ18" s="451"/>
      <c r="HL18" s="451"/>
      <c r="HN18" s="451"/>
      <c r="HP18" s="451"/>
      <c r="HR18" s="451"/>
      <c r="HT18" s="451"/>
      <c r="HV18" s="451"/>
      <c r="HX18" s="451"/>
      <c r="HZ18" s="451"/>
      <c r="IB18" s="451"/>
      <c r="ID18" s="451"/>
      <c r="IF18" s="451"/>
      <c r="IH18" s="451"/>
      <c r="IJ18" s="451"/>
      <c r="IL18" s="451"/>
      <c r="IN18" s="451"/>
      <c r="IP18" s="451"/>
      <c r="IR18" s="451"/>
      <c r="IT18" s="451"/>
      <c r="IV18" s="451"/>
    </row>
    <row r="19" spans="1:256" ht="21.75">
      <c r="A19" s="458"/>
      <c r="B19" s="686" t="s">
        <v>515</v>
      </c>
      <c r="C19" s="686"/>
      <c r="D19" s="686"/>
      <c r="E19" s="686"/>
      <c r="F19" s="686"/>
      <c r="G19" s="686"/>
      <c r="H19" s="687"/>
      <c r="I19" s="688">
        <v>0</v>
      </c>
      <c r="J19" s="689"/>
      <c r="K19" s="665"/>
      <c r="L19" s="665"/>
      <c r="M19" s="665"/>
      <c r="N19" s="665"/>
      <c r="O19" s="666"/>
      <c r="P19" s="666"/>
      <c r="Q19" s="666"/>
      <c r="R19" s="668"/>
      <c r="S19" s="669"/>
      <c r="T19" s="670"/>
      <c r="U19" s="667"/>
      <c r="V19" s="667"/>
      <c r="W19" s="451"/>
      <c r="X19" s="451"/>
      <c r="Z19" s="451"/>
      <c r="AB19" s="451"/>
      <c r="AD19" s="451"/>
      <c r="AF19" s="451"/>
      <c r="AH19" s="451"/>
      <c r="AJ19" s="451"/>
      <c r="AL19" s="451"/>
      <c r="AN19" s="451"/>
      <c r="AP19" s="451"/>
      <c r="AR19" s="451"/>
      <c r="AT19" s="451"/>
      <c r="AV19" s="451"/>
      <c r="AX19" s="451"/>
      <c r="AZ19" s="451"/>
      <c r="BB19" s="451"/>
      <c r="BD19" s="451"/>
      <c r="BF19" s="451"/>
      <c r="BH19" s="451"/>
      <c r="BJ19" s="451"/>
      <c r="BL19" s="451"/>
      <c r="BN19" s="451"/>
      <c r="BP19" s="451"/>
      <c r="BR19" s="451"/>
      <c r="BT19" s="451"/>
      <c r="BV19" s="451"/>
      <c r="BX19" s="451"/>
      <c r="BZ19" s="451"/>
      <c r="CB19" s="451"/>
      <c r="CD19" s="451"/>
      <c r="CF19" s="451"/>
      <c r="CH19" s="451"/>
      <c r="CJ19" s="451"/>
      <c r="CL19" s="451"/>
      <c r="CN19" s="451"/>
      <c r="CP19" s="451"/>
      <c r="CR19" s="451"/>
      <c r="CT19" s="451"/>
      <c r="CV19" s="451"/>
      <c r="CX19" s="451"/>
      <c r="CZ19" s="451"/>
      <c r="DB19" s="451"/>
      <c r="DD19" s="451"/>
      <c r="DF19" s="451"/>
      <c r="DH19" s="451"/>
      <c r="DJ19" s="451"/>
      <c r="DL19" s="451"/>
      <c r="DN19" s="451"/>
      <c r="DP19" s="451"/>
      <c r="DR19" s="451"/>
      <c r="DT19" s="451"/>
      <c r="DV19" s="451"/>
      <c r="DX19" s="451"/>
      <c r="DZ19" s="451"/>
      <c r="EB19" s="451"/>
      <c r="ED19" s="451"/>
      <c r="EF19" s="451"/>
      <c r="EH19" s="451"/>
      <c r="EJ19" s="451"/>
      <c r="EL19" s="451"/>
      <c r="EN19" s="451"/>
      <c r="EP19" s="451"/>
      <c r="ER19" s="451"/>
      <c r="ET19" s="451"/>
      <c r="EV19" s="451"/>
      <c r="EX19" s="451"/>
      <c r="EZ19" s="451"/>
      <c r="FB19" s="451"/>
      <c r="FD19" s="451"/>
      <c r="FF19" s="451"/>
      <c r="FH19" s="451"/>
      <c r="FJ19" s="451"/>
      <c r="FL19" s="451"/>
      <c r="FN19" s="451"/>
      <c r="FP19" s="451"/>
      <c r="FR19" s="451"/>
      <c r="FT19" s="451"/>
      <c r="FV19" s="451"/>
      <c r="FX19" s="451"/>
      <c r="FZ19" s="451"/>
      <c r="GB19" s="451"/>
      <c r="GD19" s="451"/>
      <c r="GF19" s="451"/>
      <c r="GH19" s="451"/>
      <c r="GJ19" s="451"/>
      <c r="GL19" s="451"/>
      <c r="GN19" s="451"/>
      <c r="GP19" s="451"/>
      <c r="GR19" s="451"/>
      <c r="GT19" s="451"/>
      <c r="GV19" s="451"/>
      <c r="GX19" s="451"/>
      <c r="GZ19" s="451"/>
      <c r="HB19" s="451"/>
      <c r="HD19" s="451"/>
      <c r="HF19" s="451"/>
      <c r="HH19" s="451"/>
      <c r="HJ19" s="451"/>
      <c r="HL19" s="451"/>
      <c r="HN19" s="451"/>
      <c r="HP19" s="451"/>
      <c r="HR19" s="451"/>
      <c r="HT19" s="451"/>
      <c r="HV19" s="451"/>
      <c r="HX19" s="451"/>
      <c r="HZ19" s="451"/>
      <c r="IB19" s="451"/>
      <c r="ID19" s="451"/>
      <c r="IF19" s="451"/>
      <c r="IH19" s="451"/>
      <c r="IJ19" s="451"/>
      <c r="IL19" s="451"/>
      <c r="IN19" s="451"/>
      <c r="IP19" s="451"/>
      <c r="IR19" s="451"/>
      <c r="IT19" s="451"/>
      <c r="IV19" s="451"/>
    </row>
    <row r="20" spans="1:256" ht="21.75">
      <c r="A20" s="463"/>
      <c r="B20" s="684" t="s">
        <v>516</v>
      </c>
      <c r="C20" s="684"/>
      <c r="D20" s="684"/>
      <c r="E20" s="684"/>
      <c r="F20" s="684"/>
      <c r="G20" s="684"/>
      <c r="H20" s="685"/>
      <c r="I20" s="692">
        <v>0</v>
      </c>
      <c r="J20" s="693"/>
      <c r="K20" s="665"/>
      <c r="L20" s="665"/>
      <c r="M20" s="665"/>
      <c r="N20" s="665"/>
      <c r="O20" s="666"/>
      <c r="P20" s="666"/>
      <c r="Q20" s="666"/>
      <c r="R20" s="668"/>
      <c r="S20" s="669"/>
      <c r="T20" s="670"/>
      <c r="U20" s="667"/>
      <c r="V20" s="667"/>
      <c r="W20" s="451"/>
      <c r="X20" s="451"/>
      <c r="Z20" s="451"/>
      <c r="AB20" s="451"/>
      <c r="AD20" s="451"/>
      <c r="AF20" s="451"/>
      <c r="AH20" s="451"/>
      <c r="AJ20" s="451"/>
      <c r="AL20" s="451"/>
      <c r="AN20" s="451"/>
      <c r="AP20" s="451"/>
      <c r="AR20" s="451"/>
      <c r="AT20" s="451"/>
      <c r="AV20" s="451"/>
      <c r="AX20" s="451"/>
      <c r="AZ20" s="451"/>
      <c r="BB20" s="451"/>
      <c r="BD20" s="451"/>
      <c r="BF20" s="451"/>
      <c r="BH20" s="451"/>
      <c r="BJ20" s="451"/>
      <c r="BL20" s="451"/>
      <c r="BN20" s="451"/>
      <c r="BP20" s="451"/>
      <c r="BR20" s="451"/>
      <c r="BT20" s="451"/>
      <c r="BV20" s="451"/>
      <c r="BX20" s="451"/>
      <c r="BZ20" s="451"/>
      <c r="CB20" s="451"/>
      <c r="CD20" s="451"/>
      <c r="CF20" s="451"/>
      <c r="CH20" s="451"/>
      <c r="CJ20" s="451"/>
      <c r="CL20" s="451"/>
      <c r="CN20" s="451"/>
      <c r="CP20" s="451"/>
      <c r="CR20" s="451"/>
      <c r="CT20" s="451"/>
      <c r="CV20" s="451"/>
      <c r="CX20" s="451"/>
      <c r="CZ20" s="451"/>
      <c r="DB20" s="451"/>
      <c r="DD20" s="451"/>
      <c r="DF20" s="451"/>
      <c r="DH20" s="451"/>
      <c r="DJ20" s="451"/>
      <c r="DL20" s="451"/>
      <c r="DN20" s="451"/>
      <c r="DP20" s="451"/>
      <c r="DR20" s="451"/>
      <c r="DT20" s="451"/>
      <c r="DV20" s="451"/>
      <c r="DX20" s="451"/>
      <c r="DZ20" s="451"/>
      <c r="EB20" s="451"/>
      <c r="ED20" s="451"/>
      <c r="EF20" s="451"/>
      <c r="EH20" s="451"/>
      <c r="EJ20" s="451"/>
      <c r="EL20" s="451"/>
      <c r="EN20" s="451"/>
      <c r="EP20" s="451"/>
      <c r="ER20" s="451"/>
      <c r="ET20" s="451"/>
      <c r="EV20" s="451"/>
      <c r="EX20" s="451"/>
      <c r="EZ20" s="451"/>
      <c r="FB20" s="451"/>
      <c r="FD20" s="451"/>
      <c r="FF20" s="451"/>
      <c r="FH20" s="451"/>
      <c r="FJ20" s="451"/>
      <c r="FL20" s="451"/>
      <c r="FN20" s="451"/>
      <c r="FP20" s="451"/>
      <c r="FR20" s="451"/>
      <c r="FT20" s="451"/>
      <c r="FV20" s="451"/>
      <c r="FX20" s="451"/>
      <c r="FZ20" s="451"/>
      <c r="GB20" s="451"/>
      <c r="GD20" s="451"/>
      <c r="GF20" s="451"/>
      <c r="GH20" s="451"/>
      <c r="GJ20" s="451"/>
      <c r="GL20" s="451"/>
      <c r="GN20" s="451"/>
      <c r="GP20" s="451"/>
      <c r="GR20" s="451"/>
      <c r="GT20" s="451"/>
      <c r="GV20" s="451"/>
      <c r="GX20" s="451"/>
      <c r="GZ20" s="451"/>
      <c r="HB20" s="451"/>
      <c r="HD20" s="451"/>
      <c r="HF20" s="451"/>
      <c r="HH20" s="451"/>
      <c r="HJ20" s="451"/>
      <c r="HL20" s="451"/>
      <c r="HN20" s="451"/>
      <c r="HP20" s="451"/>
      <c r="HR20" s="451"/>
      <c r="HT20" s="451"/>
      <c r="HV20" s="451"/>
      <c r="HX20" s="451"/>
      <c r="HZ20" s="451"/>
      <c r="IB20" s="451"/>
      <c r="ID20" s="451"/>
      <c r="IF20" s="451"/>
      <c r="IH20" s="451"/>
      <c r="IJ20" s="451"/>
      <c r="IL20" s="451"/>
      <c r="IN20" s="451"/>
      <c r="IP20" s="451"/>
      <c r="IR20" s="451"/>
      <c r="IT20" s="451"/>
      <c r="IV20" s="451"/>
    </row>
    <row r="21" spans="1:256" ht="21.75">
      <c r="A21" s="463"/>
      <c r="B21" s="684" t="s">
        <v>517</v>
      </c>
      <c r="C21" s="684"/>
      <c r="D21" s="684"/>
      <c r="E21" s="684"/>
      <c r="F21" s="684"/>
      <c r="G21" s="684"/>
      <c r="H21" s="685"/>
      <c r="I21" s="692">
        <v>6</v>
      </c>
      <c r="J21" s="693"/>
      <c r="K21" s="665"/>
      <c r="L21" s="665"/>
      <c r="M21" s="665"/>
      <c r="N21" s="665"/>
      <c r="O21" s="666"/>
      <c r="P21" s="666"/>
      <c r="Q21" s="666"/>
      <c r="R21" s="668"/>
      <c r="S21" s="669"/>
      <c r="T21" s="670"/>
      <c r="U21" s="667"/>
      <c r="V21" s="667"/>
      <c r="W21" s="451"/>
      <c r="X21" s="451"/>
      <c r="Z21" s="451"/>
      <c r="AB21" s="451"/>
      <c r="AD21" s="451"/>
      <c r="AF21" s="451"/>
      <c r="AH21" s="451"/>
      <c r="AJ21" s="451"/>
      <c r="AL21" s="451"/>
      <c r="AN21" s="451"/>
      <c r="AP21" s="451"/>
      <c r="AR21" s="451"/>
      <c r="AT21" s="451"/>
      <c r="AV21" s="451"/>
      <c r="AX21" s="451"/>
      <c r="AZ21" s="451"/>
      <c r="BB21" s="451"/>
      <c r="BD21" s="451"/>
      <c r="BF21" s="451"/>
      <c r="BH21" s="451"/>
      <c r="BJ21" s="451"/>
      <c r="BL21" s="451"/>
      <c r="BN21" s="451"/>
      <c r="BP21" s="451"/>
      <c r="BR21" s="451"/>
      <c r="BT21" s="451"/>
      <c r="BV21" s="451"/>
      <c r="BX21" s="451"/>
      <c r="BZ21" s="451"/>
      <c r="CB21" s="451"/>
      <c r="CD21" s="451"/>
      <c r="CF21" s="451"/>
      <c r="CH21" s="451"/>
      <c r="CJ21" s="451"/>
      <c r="CL21" s="451"/>
      <c r="CN21" s="451"/>
      <c r="CP21" s="451"/>
      <c r="CR21" s="451"/>
      <c r="CT21" s="451"/>
      <c r="CV21" s="451"/>
      <c r="CX21" s="451"/>
      <c r="CZ21" s="451"/>
      <c r="DB21" s="451"/>
      <c r="DD21" s="451"/>
      <c r="DF21" s="451"/>
      <c r="DH21" s="451"/>
      <c r="DJ21" s="451"/>
      <c r="DL21" s="451"/>
      <c r="DN21" s="451"/>
      <c r="DP21" s="451"/>
      <c r="DR21" s="451"/>
      <c r="DT21" s="451"/>
      <c r="DV21" s="451"/>
      <c r="DX21" s="451"/>
      <c r="DZ21" s="451"/>
      <c r="EB21" s="451"/>
      <c r="ED21" s="451"/>
      <c r="EF21" s="451"/>
      <c r="EH21" s="451"/>
      <c r="EJ21" s="451"/>
      <c r="EL21" s="451"/>
      <c r="EN21" s="451"/>
      <c r="EP21" s="451"/>
      <c r="ER21" s="451"/>
      <c r="ET21" s="451"/>
      <c r="EV21" s="451"/>
      <c r="EX21" s="451"/>
      <c r="EZ21" s="451"/>
      <c r="FB21" s="451"/>
      <c r="FD21" s="451"/>
      <c r="FF21" s="451"/>
      <c r="FH21" s="451"/>
      <c r="FJ21" s="451"/>
      <c r="FL21" s="451"/>
      <c r="FN21" s="451"/>
      <c r="FP21" s="451"/>
      <c r="FR21" s="451"/>
      <c r="FT21" s="451"/>
      <c r="FV21" s="451"/>
      <c r="FX21" s="451"/>
      <c r="FZ21" s="451"/>
      <c r="GB21" s="451"/>
      <c r="GD21" s="451"/>
      <c r="GF21" s="451"/>
      <c r="GH21" s="451"/>
      <c r="GJ21" s="451"/>
      <c r="GL21" s="451"/>
      <c r="GN21" s="451"/>
      <c r="GP21" s="451"/>
      <c r="GR21" s="451"/>
      <c r="GT21" s="451"/>
      <c r="GV21" s="451"/>
      <c r="GX21" s="451"/>
      <c r="GZ21" s="451"/>
      <c r="HB21" s="451"/>
      <c r="HD21" s="451"/>
      <c r="HF21" s="451"/>
      <c r="HH21" s="451"/>
      <c r="HJ21" s="451"/>
      <c r="HL21" s="451"/>
      <c r="HN21" s="451"/>
      <c r="HP21" s="451"/>
      <c r="HR21" s="451"/>
      <c r="HT21" s="451"/>
      <c r="HV21" s="451"/>
      <c r="HX21" s="451"/>
      <c r="HZ21" s="451"/>
      <c r="IB21" s="451"/>
      <c r="ID21" s="451"/>
      <c r="IF21" s="451"/>
      <c r="IH21" s="451"/>
      <c r="IJ21" s="451"/>
      <c r="IL21" s="451"/>
      <c r="IN21" s="451"/>
      <c r="IP21" s="451"/>
      <c r="IR21" s="451"/>
      <c r="IT21" s="451"/>
      <c r="IV21" s="451"/>
    </row>
    <row r="22" spans="1:256" ht="21.75">
      <c r="A22" s="464"/>
      <c r="B22" s="731" t="s">
        <v>518</v>
      </c>
      <c r="C22" s="731"/>
      <c r="D22" s="731"/>
      <c r="E22" s="731"/>
      <c r="F22" s="731"/>
      <c r="G22" s="731"/>
      <c r="H22" s="732"/>
      <c r="I22" s="678">
        <v>7</v>
      </c>
      <c r="J22" s="679"/>
      <c r="K22" s="733"/>
      <c r="L22" s="733"/>
      <c r="M22" s="733"/>
      <c r="N22" s="733"/>
      <c r="O22" s="730"/>
      <c r="P22" s="730"/>
      <c r="Q22" s="730"/>
      <c r="R22" s="737"/>
      <c r="S22" s="738"/>
      <c r="T22" s="739"/>
      <c r="U22" s="724"/>
      <c r="V22" s="724"/>
      <c r="W22" s="451"/>
      <c r="X22" s="451"/>
      <c r="Z22" s="451"/>
      <c r="AB22" s="451"/>
      <c r="AD22" s="451"/>
      <c r="AF22" s="451"/>
      <c r="AH22" s="451"/>
      <c r="AJ22" s="451"/>
      <c r="AL22" s="451"/>
      <c r="AN22" s="451"/>
      <c r="AP22" s="451"/>
      <c r="AR22" s="451"/>
      <c r="AT22" s="451"/>
      <c r="AV22" s="451"/>
      <c r="AX22" s="451"/>
      <c r="AZ22" s="451"/>
      <c r="BB22" s="451"/>
      <c r="BD22" s="451"/>
      <c r="BF22" s="451"/>
      <c r="BH22" s="451"/>
      <c r="BJ22" s="451"/>
      <c r="BL22" s="451"/>
      <c r="BN22" s="451"/>
      <c r="BP22" s="451"/>
      <c r="BR22" s="451"/>
      <c r="BT22" s="451"/>
      <c r="BV22" s="451"/>
      <c r="BX22" s="451"/>
      <c r="BZ22" s="451"/>
      <c r="CB22" s="451"/>
      <c r="CD22" s="451"/>
      <c r="CF22" s="451"/>
      <c r="CH22" s="451"/>
      <c r="CJ22" s="451"/>
      <c r="CL22" s="451"/>
      <c r="CN22" s="451"/>
      <c r="CP22" s="451"/>
      <c r="CR22" s="451"/>
      <c r="CT22" s="451"/>
      <c r="CV22" s="451"/>
      <c r="CX22" s="451"/>
      <c r="CZ22" s="451"/>
      <c r="DB22" s="451"/>
      <c r="DD22" s="451"/>
      <c r="DF22" s="451"/>
      <c r="DH22" s="451"/>
      <c r="DJ22" s="451"/>
      <c r="DL22" s="451"/>
      <c r="DN22" s="451"/>
      <c r="DP22" s="451"/>
      <c r="DR22" s="451"/>
      <c r="DT22" s="451"/>
      <c r="DV22" s="451"/>
      <c r="DX22" s="451"/>
      <c r="DZ22" s="451"/>
      <c r="EB22" s="451"/>
      <c r="ED22" s="451"/>
      <c r="EF22" s="451"/>
      <c r="EH22" s="451"/>
      <c r="EJ22" s="451"/>
      <c r="EL22" s="451"/>
      <c r="EN22" s="451"/>
      <c r="EP22" s="451"/>
      <c r="ER22" s="451"/>
      <c r="ET22" s="451"/>
      <c r="EV22" s="451"/>
      <c r="EX22" s="451"/>
      <c r="EZ22" s="451"/>
      <c r="FB22" s="451"/>
      <c r="FD22" s="451"/>
      <c r="FF22" s="451"/>
      <c r="FH22" s="451"/>
      <c r="FJ22" s="451"/>
      <c r="FL22" s="451"/>
      <c r="FN22" s="451"/>
      <c r="FP22" s="451"/>
      <c r="FR22" s="451"/>
      <c r="FT22" s="451"/>
      <c r="FV22" s="451"/>
      <c r="FX22" s="451"/>
      <c r="FZ22" s="451"/>
      <c r="GB22" s="451"/>
      <c r="GD22" s="451"/>
      <c r="GF22" s="451"/>
      <c r="GH22" s="451"/>
      <c r="GJ22" s="451"/>
      <c r="GL22" s="451"/>
      <c r="GN22" s="451"/>
      <c r="GP22" s="451"/>
      <c r="GR22" s="451"/>
      <c r="GT22" s="451"/>
      <c r="GV22" s="451"/>
      <c r="GX22" s="451"/>
      <c r="GZ22" s="451"/>
      <c r="HB22" s="451"/>
      <c r="HD22" s="451"/>
      <c r="HF22" s="451"/>
      <c r="HH22" s="451"/>
      <c r="HJ22" s="451"/>
      <c r="HL22" s="451"/>
      <c r="HN22" s="451"/>
      <c r="HP22" s="451"/>
      <c r="HR22" s="451"/>
      <c r="HT22" s="451"/>
      <c r="HV22" s="451"/>
      <c r="HX22" s="451"/>
      <c r="HZ22" s="451"/>
      <c r="IB22" s="451"/>
      <c r="ID22" s="451"/>
      <c r="IF22" s="451"/>
      <c r="IH22" s="451"/>
      <c r="IJ22" s="451"/>
      <c r="IL22" s="451"/>
      <c r="IN22" s="451"/>
      <c r="IP22" s="451"/>
      <c r="IR22" s="451"/>
      <c r="IT22" s="451"/>
      <c r="IV22" s="451"/>
    </row>
    <row r="23" spans="1:256" ht="21.75">
      <c r="A23" s="465" t="s">
        <v>519</v>
      </c>
      <c r="B23" s="675" t="s">
        <v>520</v>
      </c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7"/>
      <c r="R23" s="734"/>
      <c r="S23" s="735"/>
      <c r="T23" s="736"/>
      <c r="U23" s="681"/>
      <c r="V23" s="682"/>
      <c r="W23" s="451"/>
      <c r="X23" s="451"/>
      <c r="Z23" s="451"/>
      <c r="AB23" s="451"/>
      <c r="AD23" s="451"/>
      <c r="AF23" s="451"/>
      <c r="AH23" s="451"/>
      <c r="AJ23" s="451"/>
      <c r="AL23" s="451"/>
      <c r="AN23" s="451"/>
      <c r="AP23" s="451"/>
      <c r="AR23" s="451"/>
      <c r="AT23" s="451"/>
      <c r="AV23" s="451"/>
      <c r="AX23" s="451"/>
      <c r="AZ23" s="451"/>
      <c r="BB23" s="451"/>
      <c r="BD23" s="451"/>
      <c r="BF23" s="451"/>
      <c r="BH23" s="451"/>
      <c r="BJ23" s="451"/>
      <c r="BL23" s="451"/>
      <c r="BN23" s="451"/>
      <c r="BP23" s="451"/>
      <c r="BR23" s="451"/>
      <c r="BT23" s="451"/>
      <c r="BV23" s="451"/>
      <c r="BX23" s="451"/>
      <c r="BZ23" s="451"/>
      <c r="CB23" s="451"/>
      <c r="CD23" s="451"/>
      <c r="CF23" s="451"/>
      <c r="CH23" s="451"/>
      <c r="CJ23" s="451"/>
      <c r="CL23" s="451"/>
      <c r="CN23" s="451"/>
      <c r="CP23" s="451"/>
      <c r="CR23" s="451"/>
      <c r="CT23" s="451"/>
      <c r="CV23" s="451"/>
      <c r="CX23" s="451"/>
      <c r="CZ23" s="451"/>
      <c r="DB23" s="451"/>
      <c r="DD23" s="451"/>
      <c r="DF23" s="451"/>
      <c r="DH23" s="451"/>
      <c r="DJ23" s="451"/>
      <c r="DL23" s="451"/>
      <c r="DN23" s="451"/>
      <c r="DP23" s="451"/>
      <c r="DR23" s="451"/>
      <c r="DT23" s="451"/>
      <c r="DV23" s="451"/>
      <c r="DX23" s="451"/>
      <c r="DZ23" s="451"/>
      <c r="EB23" s="451"/>
      <c r="ED23" s="451"/>
      <c r="EF23" s="451"/>
      <c r="EH23" s="451"/>
      <c r="EJ23" s="451"/>
      <c r="EL23" s="451"/>
      <c r="EN23" s="451"/>
      <c r="EP23" s="451"/>
      <c r="ER23" s="451"/>
      <c r="ET23" s="451"/>
      <c r="EV23" s="451"/>
      <c r="EX23" s="451"/>
      <c r="EZ23" s="451"/>
      <c r="FB23" s="451"/>
      <c r="FD23" s="451"/>
      <c r="FF23" s="451"/>
      <c r="FH23" s="451"/>
      <c r="FJ23" s="451"/>
      <c r="FL23" s="451"/>
      <c r="FN23" s="451"/>
      <c r="FP23" s="451"/>
      <c r="FR23" s="451"/>
      <c r="FT23" s="451"/>
      <c r="FV23" s="451"/>
      <c r="FX23" s="451"/>
      <c r="FZ23" s="451"/>
      <c r="GB23" s="451"/>
      <c r="GD23" s="451"/>
      <c r="GF23" s="451"/>
      <c r="GH23" s="451"/>
      <c r="GJ23" s="451"/>
      <c r="GL23" s="451"/>
      <c r="GN23" s="451"/>
      <c r="GP23" s="451"/>
      <c r="GR23" s="451"/>
      <c r="GT23" s="451"/>
      <c r="GV23" s="451"/>
      <c r="GX23" s="451"/>
      <c r="GZ23" s="451"/>
      <c r="HB23" s="451"/>
      <c r="HD23" s="451"/>
      <c r="HF23" s="451"/>
      <c r="HH23" s="451"/>
      <c r="HJ23" s="451"/>
      <c r="HL23" s="451"/>
      <c r="HN23" s="451"/>
      <c r="HP23" s="451"/>
      <c r="HR23" s="451"/>
      <c r="HT23" s="451"/>
      <c r="HV23" s="451"/>
      <c r="HX23" s="451"/>
      <c r="HZ23" s="451"/>
      <c r="IB23" s="451"/>
      <c r="ID23" s="451"/>
      <c r="IF23" s="451"/>
      <c r="IH23" s="451"/>
      <c r="IJ23" s="451"/>
      <c r="IL23" s="451"/>
      <c r="IN23" s="451"/>
      <c r="IP23" s="451"/>
      <c r="IR23" s="451"/>
      <c r="IT23" s="451"/>
      <c r="IV23" s="451"/>
    </row>
    <row r="24" spans="1:256" ht="22.5" thickBot="1">
      <c r="A24" s="464"/>
      <c r="B24" s="671" t="s">
        <v>677</v>
      </c>
      <c r="C24" s="672"/>
      <c r="D24" s="672"/>
      <c r="E24" s="672"/>
      <c r="F24" s="673"/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4"/>
      <c r="R24" s="721"/>
      <c r="S24" s="722"/>
      <c r="T24" s="723"/>
      <c r="U24" s="725"/>
      <c r="V24" s="726"/>
      <c r="W24" s="466"/>
      <c r="X24" s="466"/>
      <c r="Z24" s="466"/>
      <c r="AB24" s="466"/>
      <c r="AD24" s="466"/>
      <c r="AF24" s="466"/>
      <c r="AH24" s="466"/>
      <c r="AJ24" s="466"/>
      <c r="AL24" s="466"/>
      <c r="AN24" s="466"/>
      <c r="AP24" s="466"/>
      <c r="AR24" s="466"/>
      <c r="AT24" s="466"/>
      <c r="AV24" s="466"/>
      <c r="AX24" s="466"/>
      <c r="AZ24" s="466"/>
      <c r="BB24" s="466"/>
      <c r="BD24" s="466"/>
      <c r="BF24" s="466"/>
      <c r="BH24" s="466"/>
      <c r="BJ24" s="466"/>
      <c r="BL24" s="466"/>
      <c r="BN24" s="466"/>
      <c r="BP24" s="466"/>
      <c r="BR24" s="466"/>
      <c r="BT24" s="466"/>
      <c r="BV24" s="466"/>
      <c r="BX24" s="466"/>
      <c r="BZ24" s="466"/>
      <c r="CB24" s="466"/>
      <c r="CD24" s="466"/>
      <c r="CF24" s="466"/>
      <c r="CH24" s="466"/>
      <c r="CJ24" s="466"/>
      <c r="CL24" s="466"/>
      <c r="CN24" s="466"/>
      <c r="CP24" s="466"/>
      <c r="CR24" s="466"/>
      <c r="CT24" s="466"/>
      <c r="CV24" s="466"/>
      <c r="CX24" s="466"/>
      <c r="CZ24" s="466"/>
      <c r="DB24" s="466"/>
      <c r="DD24" s="466"/>
      <c r="DF24" s="466"/>
      <c r="DH24" s="466"/>
      <c r="DJ24" s="466"/>
      <c r="DL24" s="466"/>
      <c r="DN24" s="466"/>
      <c r="DP24" s="466"/>
      <c r="DR24" s="466"/>
      <c r="DT24" s="466"/>
      <c r="DV24" s="466"/>
      <c r="DX24" s="466"/>
      <c r="DZ24" s="466"/>
      <c r="EB24" s="466"/>
      <c r="ED24" s="466"/>
      <c r="EF24" s="466"/>
      <c r="EH24" s="466"/>
      <c r="EJ24" s="466"/>
      <c r="EL24" s="466"/>
      <c r="EN24" s="466"/>
      <c r="EP24" s="466"/>
      <c r="ER24" s="466"/>
      <c r="ET24" s="466"/>
      <c r="EV24" s="466"/>
      <c r="EX24" s="466"/>
      <c r="EZ24" s="466"/>
      <c r="FB24" s="466"/>
      <c r="FD24" s="466"/>
      <c r="FF24" s="466"/>
      <c r="FH24" s="466"/>
      <c r="FJ24" s="466"/>
      <c r="FL24" s="466"/>
      <c r="FN24" s="466"/>
      <c r="FP24" s="466"/>
      <c r="FR24" s="466"/>
      <c r="FT24" s="466"/>
      <c r="FV24" s="466"/>
      <c r="FX24" s="466"/>
      <c r="FZ24" s="466"/>
      <c r="GB24" s="466"/>
      <c r="GD24" s="466"/>
      <c r="GF24" s="466"/>
      <c r="GH24" s="466"/>
      <c r="GJ24" s="466"/>
      <c r="GL24" s="466"/>
      <c r="GN24" s="466"/>
      <c r="GP24" s="466"/>
      <c r="GR24" s="466"/>
      <c r="GT24" s="466"/>
      <c r="GV24" s="466"/>
      <c r="GX24" s="466"/>
      <c r="GZ24" s="466"/>
      <c r="HB24" s="466"/>
      <c r="HD24" s="466"/>
      <c r="HF24" s="466"/>
      <c r="HH24" s="466"/>
      <c r="HJ24" s="466"/>
      <c r="HL24" s="466"/>
      <c r="HN24" s="466"/>
      <c r="HP24" s="466"/>
      <c r="HR24" s="466"/>
      <c r="HT24" s="466"/>
      <c r="HV24" s="466"/>
      <c r="HX24" s="466"/>
      <c r="HZ24" s="466"/>
      <c r="IB24" s="466"/>
      <c r="ID24" s="466"/>
      <c r="IF24" s="466"/>
      <c r="IH24" s="466"/>
      <c r="IJ24" s="466"/>
      <c r="IL24" s="466"/>
      <c r="IN24" s="466"/>
      <c r="IP24" s="466"/>
      <c r="IR24" s="466"/>
      <c r="IT24" s="466"/>
      <c r="IV24" s="466"/>
    </row>
    <row r="25" spans="1:256" ht="22.5" thickTop="1">
      <c r="A25" s="486" t="s">
        <v>143</v>
      </c>
      <c r="B25" s="700" t="s">
        <v>523</v>
      </c>
      <c r="C25" s="700"/>
      <c r="D25" s="700"/>
      <c r="E25" s="700"/>
      <c r="F25" s="700"/>
      <c r="G25" s="701">
        <v>1530</v>
      </c>
      <c r="H25" s="701"/>
      <c r="I25" s="701"/>
      <c r="J25" s="703" t="s">
        <v>524</v>
      </c>
      <c r="K25" s="703"/>
      <c r="L25" s="703"/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467"/>
      <c r="X25" s="467"/>
      <c r="Z25" s="467"/>
      <c r="AB25" s="467"/>
      <c r="AD25" s="467"/>
      <c r="AF25" s="467"/>
      <c r="AH25" s="467"/>
      <c r="AJ25" s="467"/>
      <c r="AL25" s="467"/>
      <c r="AN25" s="467"/>
      <c r="AP25" s="467"/>
      <c r="AR25" s="467"/>
      <c r="AT25" s="467"/>
      <c r="AV25" s="467"/>
      <c r="AX25" s="467"/>
      <c r="AZ25" s="467"/>
      <c r="BB25" s="467"/>
      <c r="BD25" s="467"/>
      <c r="BF25" s="467"/>
      <c r="BH25" s="467"/>
      <c r="BJ25" s="467"/>
      <c r="BL25" s="467"/>
      <c r="BN25" s="467"/>
      <c r="BP25" s="467"/>
      <c r="BR25" s="467"/>
      <c r="BT25" s="467"/>
      <c r="BV25" s="467"/>
      <c r="BX25" s="467"/>
      <c r="BZ25" s="467"/>
      <c r="CB25" s="467"/>
      <c r="CD25" s="467"/>
      <c r="CF25" s="467"/>
      <c r="CH25" s="467"/>
      <c r="CJ25" s="467"/>
      <c r="CL25" s="467"/>
      <c r="CN25" s="467"/>
      <c r="CP25" s="467"/>
      <c r="CR25" s="467"/>
      <c r="CT25" s="467"/>
      <c r="CV25" s="467"/>
      <c r="CX25" s="467"/>
      <c r="CZ25" s="467"/>
      <c r="DB25" s="467"/>
      <c r="DD25" s="467"/>
      <c r="DF25" s="467"/>
      <c r="DH25" s="467"/>
      <c r="DJ25" s="467"/>
      <c r="DL25" s="467"/>
      <c r="DN25" s="467"/>
      <c r="DP25" s="467"/>
      <c r="DR25" s="467"/>
      <c r="DT25" s="467"/>
      <c r="DV25" s="467"/>
      <c r="DX25" s="467"/>
      <c r="DZ25" s="467"/>
      <c r="EB25" s="467"/>
      <c r="ED25" s="467"/>
      <c r="EF25" s="467"/>
      <c r="EH25" s="467"/>
      <c r="EJ25" s="467"/>
      <c r="EL25" s="467"/>
      <c r="EN25" s="467"/>
      <c r="EP25" s="467"/>
      <c r="ER25" s="467"/>
      <c r="ET25" s="467"/>
      <c r="EV25" s="467"/>
      <c r="EX25" s="467"/>
      <c r="EZ25" s="467"/>
      <c r="FB25" s="467"/>
      <c r="FD25" s="467"/>
      <c r="FF25" s="467"/>
      <c r="FH25" s="467"/>
      <c r="FJ25" s="467"/>
      <c r="FL25" s="467"/>
      <c r="FN25" s="467"/>
      <c r="FP25" s="467"/>
      <c r="FR25" s="467"/>
      <c r="FT25" s="467"/>
      <c r="FV25" s="467"/>
      <c r="FX25" s="467"/>
      <c r="FZ25" s="467"/>
      <c r="GB25" s="467"/>
      <c r="GD25" s="467"/>
      <c r="GF25" s="467"/>
      <c r="GH25" s="467"/>
      <c r="GJ25" s="467"/>
      <c r="GL25" s="467"/>
      <c r="GN25" s="467"/>
      <c r="GP25" s="467"/>
      <c r="GR25" s="467"/>
      <c r="GT25" s="467"/>
      <c r="GV25" s="467"/>
      <c r="GX25" s="467"/>
      <c r="GZ25" s="467"/>
      <c r="HB25" s="467"/>
      <c r="HD25" s="467"/>
      <c r="HF25" s="467"/>
      <c r="HH25" s="467"/>
      <c r="HJ25" s="467"/>
      <c r="HL25" s="467"/>
      <c r="HN25" s="467"/>
      <c r="HP25" s="467"/>
      <c r="HR25" s="467"/>
      <c r="HT25" s="467"/>
      <c r="HV25" s="467"/>
      <c r="HX25" s="467"/>
      <c r="HZ25" s="467"/>
      <c r="IB25" s="467"/>
      <c r="ID25" s="467"/>
      <c r="IF25" s="467"/>
      <c r="IH25" s="467"/>
      <c r="IJ25" s="467"/>
      <c r="IL25" s="467"/>
      <c r="IN25" s="467"/>
      <c r="IP25" s="467"/>
      <c r="IR25" s="467"/>
      <c r="IT25" s="467"/>
      <c r="IV25" s="467"/>
    </row>
    <row r="26" spans="1:256" ht="21.75">
      <c r="A26" s="486" t="s">
        <v>143</v>
      </c>
      <c r="B26" s="691" t="s">
        <v>522</v>
      </c>
      <c r="C26" s="691"/>
      <c r="D26" s="691"/>
      <c r="E26" s="691"/>
      <c r="F26" s="691"/>
      <c r="G26" s="699"/>
      <c r="H26" s="699"/>
      <c r="I26" s="699"/>
      <c r="J26" s="690" t="s">
        <v>525</v>
      </c>
      <c r="K26" s="690"/>
      <c r="L26" s="690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467"/>
      <c r="X26" s="467"/>
      <c r="Z26" s="467"/>
      <c r="AB26" s="467"/>
      <c r="AD26" s="467"/>
      <c r="AF26" s="467"/>
      <c r="AH26" s="467"/>
      <c r="AJ26" s="467"/>
      <c r="AL26" s="467"/>
      <c r="AN26" s="467"/>
      <c r="AP26" s="467"/>
      <c r="AR26" s="467"/>
      <c r="AT26" s="467"/>
      <c r="AV26" s="467"/>
      <c r="AX26" s="467"/>
      <c r="AZ26" s="467"/>
      <c r="BB26" s="467"/>
      <c r="BD26" s="467"/>
      <c r="BF26" s="467"/>
      <c r="BH26" s="467"/>
      <c r="BJ26" s="467"/>
      <c r="BL26" s="467"/>
      <c r="BN26" s="467"/>
      <c r="BP26" s="467"/>
      <c r="BR26" s="467"/>
      <c r="BT26" s="467"/>
      <c r="BV26" s="467"/>
      <c r="BX26" s="467"/>
      <c r="BZ26" s="467"/>
      <c r="CB26" s="467"/>
      <c r="CD26" s="467"/>
      <c r="CF26" s="467"/>
      <c r="CH26" s="467"/>
      <c r="CJ26" s="467"/>
      <c r="CL26" s="467"/>
      <c r="CN26" s="467"/>
      <c r="CP26" s="467"/>
      <c r="CR26" s="467"/>
      <c r="CT26" s="467"/>
      <c r="CV26" s="467"/>
      <c r="CX26" s="467"/>
      <c r="CZ26" s="467"/>
      <c r="DB26" s="467"/>
      <c r="DD26" s="467"/>
      <c r="DF26" s="467"/>
      <c r="DH26" s="467"/>
      <c r="DJ26" s="467"/>
      <c r="DL26" s="467"/>
      <c r="DN26" s="467"/>
      <c r="DP26" s="467"/>
      <c r="DR26" s="467"/>
      <c r="DT26" s="467"/>
      <c r="DV26" s="467"/>
      <c r="DX26" s="467"/>
      <c r="DZ26" s="467"/>
      <c r="EB26" s="467"/>
      <c r="ED26" s="467"/>
      <c r="EF26" s="467"/>
      <c r="EH26" s="467"/>
      <c r="EJ26" s="467"/>
      <c r="EL26" s="467"/>
      <c r="EN26" s="467"/>
      <c r="EP26" s="467"/>
      <c r="ER26" s="467"/>
      <c r="ET26" s="467"/>
      <c r="EV26" s="467"/>
      <c r="EX26" s="467"/>
      <c r="EZ26" s="467"/>
      <c r="FB26" s="467"/>
      <c r="FD26" s="467"/>
      <c r="FF26" s="467"/>
      <c r="FH26" s="467"/>
      <c r="FJ26" s="467"/>
      <c r="FL26" s="467"/>
      <c r="FN26" s="467"/>
      <c r="FP26" s="467"/>
      <c r="FR26" s="467"/>
      <c r="FT26" s="467"/>
      <c r="FV26" s="467"/>
      <c r="FX26" s="467"/>
      <c r="FZ26" s="467"/>
      <c r="GB26" s="467"/>
      <c r="GD26" s="467"/>
      <c r="GF26" s="467"/>
      <c r="GH26" s="467"/>
      <c r="GJ26" s="467"/>
      <c r="GL26" s="467"/>
      <c r="GN26" s="467"/>
      <c r="GP26" s="467"/>
      <c r="GR26" s="467"/>
      <c r="GT26" s="467"/>
      <c r="GV26" s="467"/>
      <c r="GX26" s="467"/>
      <c r="GZ26" s="467"/>
      <c r="HB26" s="467"/>
      <c r="HD26" s="467"/>
      <c r="HF26" s="467"/>
      <c r="HH26" s="467"/>
      <c r="HJ26" s="467"/>
      <c r="HL26" s="467"/>
      <c r="HN26" s="467"/>
      <c r="HP26" s="467"/>
      <c r="HR26" s="467"/>
      <c r="HT26" s="467"/>
      <c r="HV26" s="467"/>
      <c r="HX26" s="467"/>
      <c r="HZ26" s="467"/>
      <c r="IB26" s="467"/>
      <c r="ID26" s="467"/>
      <c r="IF26" s="467"/>
      <c r="IH26" s="467"/>
      <c r="IJ26" s="467"/>
      <c r="IL26" s="467"/>
      <c r="IN26" s="467"/>
      <c r="IP26" s="467"/>
      <c r="IR26" s="467"/>
      <c r="IT26" s="467"/>
      <c r="IV26" s="467"/>
    </row>
    <row r="27" spans="1:256" s="471" customFormat="1" ht="21.75">
      <c r="A27" s="487" t="s">
        <v>143</v>
      </c>
      <c r="B27" s="468" t="s">
        <v>852</v>
      </c>
      <c r="C27" s="468"/>
      <c r="D27" s="468"/>
      <c r="E27" s="468"/>
      <c r="F27" s="468"/>
      <c r="G27" s="469"/>
      <c r="H27" s="469"/>
      <c r="I27" s="469"/>
      <c r="J27" s="683"/>
      <c r="K27" s="683"/>
      <c r="L27" s="683"/>
      <c r="M27" s="341" t="s">
        <v>860</v>
      </c>
      <c r="N27" s="470" t="s">
        <v>586</v>
      </c>
      <c r="O27" s="450"/>
      <c r="P27" s="450"/>
      <c r="Q27" s="450"/>
      <c r="R27" s="450"/>
      <c r="S27" s="450"/>
      <c r="T27" s="450"/>
      <c r="U27" s="450"/>
      <c r="V27" s="450"/>
      <c r="W27" s="467"/>
      <c r="X27" s="467"/>
      <c r="Z27" s="467"/>
      <c r="AB27" s="467"/>
      <c r="AD27" s="467"/>
      <c r="AF27" s="467"/>
      <c r="AH27" s="467"/>
      <c r="AJ27" s="467"/>
      <c r="AL27" s="467"/>
      <c r="AN27" s="467"/>
      <c r="AP27" s="467"/>
      <c r="AR27" s="467"/>
      <c r="AT27" s="467"/>
      <c r="AV27" s="467"/>
      <c r="AX27" s="467"/>
      <c r="AZ27" s="467"/>
      <c r="BB27" s="467"/>
      <c r="BD27" s="467"/>
      <c r="BF27" s="467"/>
      <c r="BH27" s="467"/>
      <c r="BJ27" s="467"/>
      <c r="BL27" s="467"/>
      <c r="BN27" s="467"/>
      <c r="BP27" s="467"/>
      <c r="BR27" s="467"/>
      <c r="BT27" s="467"/>
      <c r="BV27" s="467"/>
      <c r="BX27" s="467"/>
      <c r="BZ27" s="467"/>
      <c r="CB27" s="467"/>
      <c r="CD27" s="467"/>
      <c r="CF27" s="467"/>
      <c r="CH27" s="467"/>
      <c r="CJ27" s="467"/>
      <c r="CL27" s="467"/>
      <c r="CN27" s="467"/>
      <c r="CP27" s="467"/>
      <c r="CR27" s="467"/>
      <c r="CT27" s="467"/>
      <c r="CV27" s="467"/>
      <c r="CX27" s="467"/>
      <c r="CZ27" s="467"/>
      <c r="DB27" s="467"/>
      <c r="DD27" s="467"/>
      <c r="DF27" s="467"/>
      <c r="DH27" s="467"/>
      <c r="DJ27" s="467"/>
      <c r="DL27" s="467"/>
      <c r="DN27" s="467"/>
      <c r="DP27" s="467"/>
      <c r="DR27" s="467"/>
      <c r="DT27" s="467"/>
      <c r="DV27" s="467"/>
      <c r="DX27" s="467"/>
      <c r="DZ27" s="467"/>
      <c r="EB27" s="467"/>
      <c r="ED27" s="467"/>
      <c r="EF27" s="467"/>
      <c r="EH27" s="467"/>
      <c r="EJ27" s="467"/>
      <c r="EL27" s="467"/>
      <c r="EN27" s="467"/>
      <c r="EP27" s="467"/>
      <c r="ER27" s="467"/>
      <c r="ET27" s="467"/>
      <c r="EV27" s="467"/>
      <c r="EX27" s="467"/>
      <c r="EZ27" s="467"/>
      <c r="FB27" s="467"/>
      <c r="FD27" s="467"/>
      <c r="FF27" s="467"/>
      <c r="FH27" s="467"/>
      <c r="FJ27" s="467"/>
      <c r="FL27" s="467"/>
      <c r="FN27" s="467"/>
      <c r="FP27" s="467"/>
      <c r="FR27" s="467"/>
      <c r="FT27" s="467"/>
      <c r="FV27" s="467"/>
      <c r="FX27" s="467"/>
      <c r="FZ27" s="467"/>
      <c r="GB27" s="467"/>
      <c r="GD27" s="467"/>
      <c r="GF27" s="467"/>
      <c r="GH27" s="467"/>
      <c r="GJ27" s="467"/>
      <c r="GL27" s="467"/>
      <c r="GN27" s="467"/>
      <c r="GP27" s="467"/>
      <c r="GR27" s="467"/>
      <c r="GT27" s="467"/>
      <c r="GV27" s="467"/>
      <c r="GX27" s="467"/>
      <c r="GZ27" s="467"/>
      <c r="HB27" s="467"/>
      <c r="HD27" s="467"/>
      <c r="HF27" s="467"/>
      <c r="HH27" s="467"/>
      <c r="HJ27" s="467"/>
      <c r="HL27" s="467"/>
      <c r="HN27" s="467"/>
      <c r="HP27" s="467"/>
      <c r="HR27" s="467"/>
      <c r="HT27" s="467"/>
      <c r="HV27" s="467"/>
      <c r="HX27" s="467"/>
      <c r="HZ27" s="467"/>
      <c r="IB27" s="467"/>
      <c r="ID27" s="467"/>
      <c r="IF27" s="467"/>
      <c r="IH27" s="467"/>
      <c r="IJ27" s="467"/>
      <c r="IL27" s="467"/>
      <c r="IN27" s="467"/>
      <c r="IP27" s="467"/>
      <c r="IR27" s="467"/>
      <c r="IT27" s="467"/>
      <c r="IV27" s="467"/>
    </row>
    <row r="28" spans="1:256" s="471" customFormat="1" ht="9" customHeight="1">
      <c r="A28" s="472"/>
      <c r="B28" s="472"/>
      <c r="C28" s="472"/>
      <c r="D28" s="472"/>
      <c r="E28" s="472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2"/>
      <c r="Q28" s="472"/>
      <c r="R28" s="472"/>
      <c r="S28" s="472"/>
      <c r="T28" s="472"/>
      <c r="U28" s="472"/>
      <c r="V28" s="472"/>
      <c r="W28" s="472"/>
      <c r="X28" s="472"/>
      <c r="Z28" s="472"/>
      <c r="AB28" s="472"/>
      <c r="AD28" s="472"/>
      <c r="AF28" s="472"/>
      <c r="AH28" s="472"/>
      <c r="AJ28" s="472"/>
      <c r="AL28" s="472"/>
      <c r="AN28" s="472"/>
      <c r="AP28" s="472"/>
      <c r="AR28" s="472"/>
      <c r="AT28" s="472"/>
      <c r="AV28" s="472"/>
      <c r="AX28" s="472"/>
      <c r="AZ28" s="472"/>
      <c r="BB28" s="472"/>
      <c r="BD28" s="472"/>
      <c r="BF28" s="472"/>
      <c r="BH28" s="472"/>
      <c r="BJ28" s="472"/>
      <c r="BL28" s="472"/>
      <c r="BN28" s="472"/>
      <c r="BP28" s="472"/>
      <c r="BR28" s="472"/>
      <c r="BT28" s="472"/>
      <c r="BV28" s="472"/>
      <c r="BX28" s="472"/>
      <c r="BZ28" s="472"/>
      <c r="CB28" s="472"/>
      <c r="CD28" s="472"/>
      <c r="CF28" s="472"/>
      <c r="CH28" s="472"/>
      <c r="CJ28" s="472"/>
      <c r="CL28" s="472"/>
      <c r="CN28" s="472"/>
      <c r="CP28" s="472"/>
      <c r="CR28" s="472"/>
      <c r="CT28" s="472"/>
      <c r="CV28" s="472"/>
      <c r="CX28" s="472"/>
      <c r="CZ28" s="472"/>
      <c r="DB28" s="472"/>
      <c r="DD28" s="472"/>
      <c r="DF28" s="472"/>
      <c r="DH28" s="472"/>
      <c r="DJ28" s="472"/>
      <c r="DL28" s="472"/>
      <c r="DN28" s="472"/>
      <c r="DP28" s="472"/>
      <c r="DR28" s="472"/>
      <c r="DT28" s="472"/>
      <c r="DV28" s="472"/>
      <c r="DX28" s="472"/>
      <c r="DZ28" s="472"/>
      <c r="EB28" s="472"/>
      <c r="ED28" s="472"/>
      <c r="EF28" s="472"/>
      <c r="EH28" s="472"/>
      <c r="EJ28" s="472"/>
      <c r="EL28" s="472"/>
      <c r="EN28" s="472"/>
      <c r="EP28" s="472"/>
      <c r="ER28" s="472"/>
      <c r="ET28" s="472"/>
      <c r="EV28" s="472"/>
      <c r="EX28" s="472"/>
      <c r="EZ28" s="472"/>
      <c r="FB28" s="472"/>
      <c r="FD28" s="472"/>
      <c r="FF28" s="472"/>
      <c r="FH28" s="472"/>
      <c r="FJ28" s="472"/>
      <c r="FL28" s="472"/>
      <c r="FN28" s="472"/>
      <c r="FP28" s="472"/>
      <c r="FR28" s="472"/>
      <c r="FT28" s="472"/>
      <c r="FV28" s="472"/>
      <c r="FX28" s="472"/>
      <c r="FZ28" s="472"/>
      <c r="GB28" s="472"/>
      <c r="GD28" s="472"/>
      <c r="GF28" s="472"/>
      <c r="GH28" s="472"/>
      <c r="GJ28" s="472"/>
      <c r="GL28" s="472"/>
      <c r="GN28" s="472"/>
      <c r="GP28" s="472"/>
      <c r="GR28" s="472"/>
      <c r="GT28" s="472"/>
      <c r="GV28" s="472"/>
      <c r="GX28" s="472"/>
      <c r="GZ28" s="472"/>
      <c r="HB28" s="472"/>
      <c r="HD28" s="472"/>
      <c r="HF28" s="472"/>
      <c r="HH28" s="472"/>
      <c r="HJ28" s="472"/>
      <c r="HL28" s="472"/>
      <c r="HN28" s="472"/>
      <c r="HP28" s="472"/>
      <c r="HR28" s="472"/>
      <c r="HT28" s="472"/>
      <c r="HV28" s="472"/>
      <c r="HX28" s="472"/>
      <c r="HZ28" s="472"/>
      <c r="IB28" s="472"/>
      <c r="ID28" s="472"/>
      <c r="IF28" s="472"/>
      <c r="IH28" s="472"/>
      <c r="IJ28" s="472"/>
      <c r="IL28" s="472"/>
      <c r="IN28" s="472"/>
      <c r="IP28" s="472"/>
      <c r="IR28" s="472"/>
      <c r="IT28" s="472"/>
      <c r="IV28" s="472"/>
    </row>
    <row r="29" spans="1:256" ht="19.5" customHeight="1">
      <c r="A29" s="472"/>
      <c r="B29" s="441"/>
      <c r="C29" s="474"/>
      <c r="D29" s="474"/>
      <c r="E29" s="474"/>
      <c r="F29" s="475"/>
      <c r="G29" s="475"/>
      <c r="H29" s="475"/>
      <c r="I29" s="475"/>
      <c r="J29" s="475"/>
      <c r="K29" s="475"/>
      <c r="L29" s="475"/>
      <c r="M29" s="475"/>
      <c r="N29" s="475"/>
      <c r="O29" s="438"/>
      <c r="P29" s="438"/>
      <c r="Q29" s="438"/>
      <c r="R29" s="438"/>
      <c r="S29" s="438"/>
      <c r="T29" s="438"/>
      <c r="U29" s="476"/>
      <c r="V29" s="476"/>
      <c r="W29" s="476"/>
      <c r="X29" s="476"/>
      <c r="Z29" s="476"/>
      <c r="AB29" s="476"/>
      <c r="AD29" s="476"/>
      <c r="AF29" s="476"/>
      <c r="AH29" s="476"/>
      <c r="AJ29" s="476"/>
      <c r="AL29" s="476"/>
      <c r="AN29" s="476"/>
      <c r="AP29" s="476"/>
      <c r="AR29" s="476"/>
      <c r="AT29" s="476"/>
      <c r="AV29" s="476"/>
      <c r="AX29" s="476"/>
      <c r="AZ29" s="476"/>
      <c r="BB29" s="476"/>
      <c r="BD29" s="476"/>
      <c r="BF29" s="476"/>
      <c r="BH29" s="476"/>
      <c r="BJ29" s="476"/>
      <c r="BL29" s="476"/>
      <c r="BN29" s="476"/>
      <c r="BP29" s="476"/>
      <c r="BR29" s="476"/>
      <c r="BT29" s="476"/>
      <c r="BV29" s="476"/>
      <c r="BX29" s="476"/>
      <c r="BZ29" s="476"/>
      <c r="CB29" s="476"/>
      <c r="CD29" s="476"/>
      <c r="CF29" s="476"/>
      <c r="CH29" s="476"/>
      <c r="CJ29" s="476"/>
      <c r="CL29" s="476"/>
      <c r="CN29" s="476"/>
      <c r="CP29" s="476"/>
      <c r="CR29" s="476"/>
      <c r="CT29" s="476"/>
      <c r="CV29" s="476"/>
      <c r="CX29" s="476"/>
      <c r="CZ29" s="476"/>
      <c r="DB29" s="476"/>
      <c r="DD29" s="476"/>
      <c r="DF29" s="476"/>
      <c r="DH29" s="476"/>
      <c r="DJ29" s="476"/>
      <c r="DL29" s="476"/>
      <c r="DN29" s="476"/>
      <c r="DP29" s="476"/>
      <c r="DR29" s="476"/>
      <c r="DT29" s="476"/>
      <c r="DV29" s="476"/>
      <c r="DX29" s="476"/>
      <c r="DZ29" s="476"/>
      <c r="EB29" s="476"/>
      <c r="ED29" s="476"/>
      <c r="EF29" s="476"/>
      <c r="EH29" s="476"/>
      <c r="EJ29" s="476"/>
      <c r="EL29" s="476"/>
      <c r="EN29" s="476"/>
      <c r="EP29" s="476"/>
      <c r="ER29" s="476"/>
      <c r="ET29" s="476"/>
      <c r="EV29" s="476"/>
      <c r="EX29" s="476"/>
      <c r="EZ29" s="476"/>
      <c r="FB29" s="476"/>
      <c r="FD29" s="476"/>
      <c r="FF29" s="476"/>
      <c r="FH29" s="476"/>
      <c r="FJ29" s="476"/>
      <c r="FL29" s="476"/>
      <c r="FN29" s="476"/>
      <c r="FP29" s="476"/>
      <c r="FR29" s="476"/>
      <c r="FT29" s="476"/>
      <c r="FV29" s="476"/>
      <c r="FX29" s="476"/>
      <c r="FZ29" s="476"/>
      <c r="GB29" s="476"/>
      <c r="GD29" s="476"/>
      <c r="GF29" s="476"/>
      <c r="GH29" s="476"/>
      <c r="GJ29" s="476"/>
      <c r="GL29" s="476"/>
      <c r="GN29" s="476"/>
      <c r="GP29" s="476"/>
      <c r="GR29" s="476"/>
      <c r="GT29" s="476"/>
      <c r="GV29" s="476"/>
      <c r="GX29" s="476"/>
      <c r="GZ29" s="476"/>
      <c r="HB29" s="476"/>
      <c r="HD29" s="476"/>
      <c r="HF29" s="476"/>
      <c r="HH29" s="476"/>
      <c r="HJ29" s="476"/>
      <c r="HL29" s="476"/>
      <c r="HN29" s="476"/>
      <c r="HP29" s="476"/>
      <c r="HR29" s="476"/>
      <c r="HT29" s="476"/>
      <c r="HV29" s="476"/>
      <c r="HX29" s="476"/>
      <c r="HZ29" s="476"/>
      <c r="IB29" s="476"/>
      <c r="ID29" s="476"/>
      <c r="IF29" s="476"/>
      <c r="IH29" s="476"/>
      <c r="IJ29" s="476"/>
      <c r="IL29" s="476"/>
      <c r="IN29" s="476"/>
      <c r="IP29" s="476"/>
      <c r="IR29" s="476"/>
      <c r="IT29" s="476"/>
      <c r="IV29" s="476"/>
    </row>
    <row r="30" spans="1:256" s="483" customFormat="1" ht="36.75" customHeight="1">
      <c r="A30" s="477"/>
      <c r="B30" s="478"/>
      <c r="C30" s="478"/>
      <c r="D30" s="478"/>
      <c r="E30" s="479"/>
      <c r="F30" s="479"/>
      <c r="G30" s="478"/>
      <c r="H30" s="477"/>
      <c r="I30" s="477"/>
      <c r="J30" s="477"/>
      <c r="K30" s="477"/>
      <c r="L30" s="477"/>
      <c r="M30" s="480"/>
      <c r="N30" s="480"/>
      <c r="O30" s="481"/>
      <c r="P30" s="481"/>
      <c r="Q30" s="482"/>
      <c r="R30" s="482"/>
      <c r="S30" s="482"/>
      <c r="T30" s="482"/>
      <c r="U30" s="482"/>
      <c r="V30" s="482"/>
      <c r="W30" s="482"/>
      <c r="X30" s="482"/>
      <c r="Z30" s="482"/>
      <c r="AB30" s="482"/>
      <c r="AD30" s="482"/>
      <c r="AF30" s="482"/>
      <c r="AH30" s="482"/>
      <c r="AJ30" s="482"/>
      <c r="AL30" s="482"/>
      <c r="AN30" s="482"/>
      <c r="AP30" s="482"/>
      <c r="AR30" s="482"/>
      <c r="AT30" s="482"/>
      <c r="AV30" s="482"/>
      <c r="AX30" s="482"/>
      <c r="AZ30" s="482"/>
      <c r="BB30" s="482"/>
      <c r="BD30" s="482"/>
      <c r="BF30" s="482"/>
      <c r="BH30" s="482"/>
      <c r="BJ30" s="482"/>
      <c r="BL30" s="482"/>
      <c r="BN30" s="482"/>
      <c r="BP30" s="482"/>
      <c r="BR30" s="482"/>
      <c r="BT30" s="482"/>
      <c r="BV30" s="482"/>
      <c r="BX30" s="482"/>
      <c r="BZ30" s="482"/>
      <c r="CB30" s="482"/>
      <c r="CD30" s="482"/>
      <c r="CF30" s="482"/>
      <c r="CH30" s="482"/>
      <c r="CJ30" s="482"/>
      <c r="CL30" s="482"/>
      <c r="CN30" s="482"/>
      <c r="CP30" s="482"/>
      <c r="CR30" s="482"/>
      <c r="CT30" s="482"/>
      <c r="CV30" s="482"/>
      <c r="CX30" s="482"/>
      <c r="CZ30" s="482"/>
      <c r="DB30" s="482"/>
      <c r="DD30" s="482"/>
      <c r="DF30" s="482"/>
      <c r="DH30" s="482"/>
      <c r="DJ30" s="482"/>
      <c r="DL30" s="482"/>
      <c r="DN30" s="482"/>
      <c r="DP30" s="482"/>
      <c r="DR30" s="482"/>
      <c r="DT30" s="482"/>
      <c r="DV30" s="482"/>
      <c r="DX30" s="482"/>
      <c r="DZ30" s="482"/>
      <c r="EB30" s="482"/>
      <c r="ED30" s="482"/>
      <c r="EF30" s="482"/>
      <c r="EH30" s="482"/>
      <c r="EJ30" s="482"/>
      <c r="EL30" s="482"/>
      <c r="EN30" s="482"/>
      <c r="EP30" s="482"/>
      <c r="ER30" s="482"/>
      <c r="ET30" s="482"/>
      <c r="EV30" s="482"/>
      <c r="EX30" s="482"/>
      <c r="EZ30" s="482"/>
      <c r="FB30" s="482"/>
      <c r="FD30" s="482"/>
      <c r="FF30" s="482"/>
      <c r="FH30" s="482"/>
      <c r="FJ30" s="482"/>
      <c r="FL30" s="482"/>
      <c r="FN30" s="482"/>
      <c r="FP30" s="482"/>
      <c r="FR30" s="482"/>
      <c r="FT30" s="482"/>
      <c r="FV30" s="482"/>
      <c r="FX30" s="482"/>
      <c r="FZ30" s="482"/>
      <c r="GB30" s="482"/>
      <c r="GD30" s="482"/>
      <c r="GF30" s="482"/>
      <c r="GH30" s="482"/>
      <c r="GJ30" s="482"/>
      <c r="GL30" s="482"/>
      <c r="GN30" s="482"/>
      <c r="GP30" s="482"/>
      <c r="GR30" s="482"/>
      <c r="GT30" s="482"/>
      <c r="GV30" s="482"/>
      <c r="GX30" s="482"/>
      <c r="GZ30" s="482"/>
      <c r="HB30" s="482"/>
      <c r="HD30" s="482"/>
      <c r="HF30" s="482"/>
      <c r="HH30" s="482"/>
      <c r="HJ30" s="482"/>
      <c r="HL30" s="482"/>
      <c r="HN30" s="482"/>
      <c r="HP30" s="482"/>
      <c r="HR30" s="482"/>
      <c r="HT30" s="482"/>
      <c r="HV30" s="482"/>
      <c r="HX30" s="482"/>
      <c r="HZ30" s="482"/>
      <c r="IB30" s="482"/>
      <c r="ID30" s="482"/>
      <c r="IF30" s="482"/>
      <c r="IH30" s="482"/>
      <c r="IJ30" s="482"/>
      <c r="IL30" s="482"/>
      <c r="IN30" s="482"/>
      <c r="IP30" s="482"/>
      <c r="IR30" s="482"/>
      <c r="IT30" s="482"/>
      <c r="IV30" s="482"/>
    </row>
    <row r="31" spans="1:256" s="483" customFormat="1" ht="36.75" customHeight="1">
      <c r="A31" s="477"/>
      <c r="B31" s="478"/>
      <c r="C31" s="477"/>
      <c r="D31" s="477"/>
      <c r="E31" s="477"/>
      <c r="F31" s="479"/>
      <c r="G31" s="478"/>
      <c r="H31" s="477"/>
      <c r="I31" s="477"/>
      <c r="J31" s="477"/>
      <c r="K31" s="477"/>
      <c r="L31" s="477"/>
      <c r="M31" s="480"/>
      <c r="N31" s="480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Z31" s="482"/>
      <c r="AB31" s="482"/>
      <c r="AD31" s="482"/>
      <c r="AF31" s="482"/>
      <c r="AH31" s="482"/>
      <c r="AJ31" s="482"/>
      <c r="AL31" s="482"/>
      <c r="AN31" s="482"/>
      <c r="AP31" s="482"/>
      <c r="AR31" s="482"/>
      <c r="AT31" s="482"/>
      <c r="AV31" s="482"/>
      <c r="AX31" s="482"/>
      <c r="AZ31" s="482"/>
      <c r="BB31" s="482"/>
      <c r="BD31" s="482"/>
      <c r="BF31" s="482"/>
      <c r="BH31" s="482"/>
      <c r="BJ31" s="482"/>
      <c r="BL31" s="482"/>
      <c r="BN31" s="482"/>
      <c r="BP31" s="482"/>
      <c r="BR31" s="482"/>
      <c r="BT31" s="482"/>
      <c r="BV31" s="482"/>
      <c r="BX31" s="482"/>
      <c r="BZ31" s="482"/>
      <c r="CB31" s="482"/>
      <c r="CD31" s="482"/>
      <c r="CF31" s="482"/>
      <c r="CH31" s="482"/>
      <c r="CJ31" s="482"/>
      <c r="CL31" s="482"/>
      <c r="CN31" s="482"/>
      <c r="CP31" s="482"/>
      <c r="CR31" s="482"/>
      <c r="CT31" s="482"/>
      <c r="CV31" s="482"/>
      <c r="CX31" s="482"/>
      <c r="CZ31" s="482"/>
      <c r="DB31" s="482"/>
      <c r="DD31" s="482"/>
      <c r="DF31" s="482"/>
      <c r="DH31" s="482"/>
      <c r="DJ31" s="482"/>
      <c r="DL31" s="482"/>
      <c r="DN31" s="482"/>
      <c r="DP31" s="482"/>
      <c r="DR31" s="482"/>
      <c r="DT31" s="482"/>
      <c r="DV31" s="482"/>
      <c r="DX31" s="482"/>
      <c r="DZ31" s="482"/>
      <c r="EB31" s="482"/>
      <c r="ED31" s="482"/>
      <c r="EF31" s="482"/>
      <c r="EH31" s="482"/>
      <c r="EJ31" s="482"/>
      <c r="EL31" s="482"/>
      <c r="EN31" s="482"/>
      <c r="EP31" s="482"/>
      <c r="ER31" s="482"/>
      <c r="ET31" s="482"/>
      <c r="EV31" s="482"/>
      <c r="EX31" s="482"/>
      <c r="EZ31" s="482"/>
      <c r="FB31" s="482"/>
      <c r="FD31" s="482"/>
      <c r="FF31" s="482"/>
      <c r="FH31" s="482"/>
      <c r="FJ31" s="482"/>
      <c r="FL31" s="482"/>
      <c r="FN31" s="482"/>
      <c r="FP31" s="482"/>
      <c r="FR31" s="482"/>
      <c r="FT31" s="482"/>
      <c r="FV31" s="482"/>
      <c r="FX31" s="482"/>
      <c r="FZ31" s="482"/>
      <c r="GB31" s="482"/>
      <c r="GD31" s="482"/>
      <c r="GF31" s="482"/>
      <c r="GH31" s="482"/>
      <c r="GJ31" s="482"/>
      <c r="GL31" s="482"/>
      <c r="GN31" s="482"/>
      <c r="GP31" s="482"/>
      <c r="GR31" s="482"/>
      <c r="GT31" s="482"/>
      <c r="GV31" s="482"/>
      <c r="GX31" s="482"/>
      <c r="GZ31" s="482"/>
      <c r="HB31" s="482"/>
      <c r="HD31" s="482"/>
      <c r="HF31" s="482"/>
      <c r="HH31" s="482"/>
      <c r="HJ31" s="482"/>
      <c r="HL31" s="482"/>
      <c r="HN31" s="482"/>
      <c r="HP31" s="482"/>
      <c r="HR31" s="482"/>
      <c r="HT31" s="482"/>
      <c r="HV31" s="482"/>
      <c r="HX31" s="482"/>
      <c r="HZ31" s="482"/>
      <c r="IB31" s="482"/>
      <c r="ID31" s="482"/>
      <c r="IF31" s="482"/>
      <c r="IH31" s="482"/>
      <c r="IJ31" s="482"/>
      <c r="IL31" s="482"/>
      <c r="IN31" s="482"/>
      <c r="IP31" s="482"/>
      <c r="IR31" s="482"/>
      <c r="IT31" s="482"/>
      <c r="IV31" s="482"/>
    </row>
    <row r="32" spans="1:256" s="483" customFormat="1" ht="36.75" customHeight="1">
      <c r="A32" s="477"/>
      <c r="B32" s="478"/>
      <c r="C32" s="477"/>
      <c r="D32" s="477"/>
      <c r="E32" s="477"/>
      <c r="F32" s="479"/>
      <c r="G32" s="478"/>
      <c r="H32" s="477"/>
      <c r="I32" s="477"/>
      <c r="J32" s="477"/>
      <c r="K32" s="477"/>
      <c r="L32" s="477"/>
      <c r="M32" s="480"/>
      <c r="N32" s="480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Z32" s="482"/>
      <c r="AB32" s="482"/>
      <c r="AD32" s="482"/>
      <c r="AF32" s="482"/>
      <c r="AH32" s="482"/>
      <c r="AJ32" s="482"/>
      <c r="AL32" s="482"/>
      <c r="AN32" s="482"/>
      <c r="AP32" s="482"/>
      <c r="AR32" s="482"/>
      <c r="AT32" s="482"/>
      <c r="AV32" s="482"/>
      <c r="AX32" s="482"/>
      <c r="AZ32" s="482"/>
      <c r="BB32" s="482"/>
      <c r="BD32" s="482"/>
      <c r="BF32" s="482"/>
      <c r="BH32" s="482"/>
      <c r="BJ32" s="482"/>
      <c r="BL32" s="482"/>
      <c r="BN32" s="482"/>
      <c r="BP32" s="482"/>
      <c r="BR32" s="482"/>
      <c r="BT32" s="482"/>
      <c r="BV32" s="482"/>
      <c r="BX32" s="482"/>
      <c r="BZ32" s="482"/>
      <c r="CB32" s="482"/>
      <c r="CD32" s="482"/>
      <c r="CF32" s="482"/>
      <c r="CH32" s="482"/>
      <c r="CJ32" s="482"/>
      <c r="CL32" s="482"/>
      <c r="CN32" s="482"/>
      <c r="CP32" s="482"/>
      <c r="CR32" s="482"/>
      <c r="CT32" s="482"/>
      <c r="CV32" s="482"/>
      <c r="CX32" s="482"/>
      <c r="CZ32" s="482"/>
      <c r="DB32" s="482"/>
      <c r="DD32" s="482"/>
      <c r="DF32" s="482"/>
      <c r="DH32" s="482"/>
      <c r="DJ32" s="482"/>
      <c r="DL32" s="482"/>
      <c r="DN32" s="482"/>
      <c r="DP32" s="482"/>
      <c r="DR32" s="482"/>
      <c r="DT32" s="482"/>
      <c r="DV32" s="482"/>
      <c r="DX32" s="482"/>
      <c r="DZ32" s="482"/>
      <c r="EB32" s="482"/>
      <c r="ED32" s="482"/>
      <c r="EF32" s="482"/>
      <c r="EH32" s="482"/>
      <c r="EJ32" s="482"/>
      <c r="EL32" s="482"/>
      <c r="EN32" s="482"/>
      <c r="EP32" s="482"/>
      <c r="ER32" s="482"/>
      <c r="ET32" s="482"/>
      <c r="EV32" s="482"/>
      <c r="EX32" s="482"/>
      <c r="EZ32" s="482"/>
      <c r="FB32" s="482"/>
      <c r="FD32" s="482"/>
      <c r="FF32" s="482"/>
      <c r="FH32" s="482"/>
      <c r="FJ32" s="482"/>
      <c r="FL32" s="482"/>
      <c r="FN32" s="482"/>
      <c r="FP32" s="482"/>
      <c r="FR32" s="482"/>
      <c r="FT32" s="482"/>
      <c r="FV32" s="482"/>
      <c r="FX32" s="482"/>
      <c r="FZ32" s="482"/>
      <c r="GB32" s="482"/>
      <c r="GD32" s="482"/>
      <c r="GF32" s="482"/>
      <c r="GH32" s="482"/>
      <c r="GJ32" s="482"/>
      <c r="GL32" s="482"/>
      <c r="GN32" s="482"/>
      <c r="GP32" s="482"/>
      <c r="GR32" s="482"/>
      <c r="GT32" s="482"/>
      <c r="GV32" s="482"/>
      <c r="GX32" s="482"/>
      <c r="GZ32" s="482"/>
      <c r="HB32" s="482"/>
      <c r="HD32" s="482"/>
      <c r="HF32" s="482"/>
      <c r="HH32" s="482"/>
      <c r="HJ32" s="482"/>
      <c r="HL32" s="482"/>
      <c r="HN32" s="482"/>
      <c r="HP32" s="482"/>
      <c r="HR32" s="482"/>
      <c r="HT32" s="482"/>
      <c r="HV32" s="482"/>
      <c r="HX32" s="482"/>
      <c r="HZ32" s="482"/>
      <c r="IB32" s="482"/>
      <c r="ID32" s="482"/>
      <c r="IF32" s="482"/>
      <c r="IH32" s="482"/>
      <c r="IJ32" s="482"/>
      <c r="IL32" s="482"/>
      <c r="IN32" s="482"/>
      <c r="IP32" s="482"/>
      <c r="IR32" s="482"/>
      <c r="IT32" s="482"/>
      <c r="IV32" s="482"/>
    </row>
    <row r="33" spans="1:256" s="483" customFormat="1" ht="31.5" customHeight="1">
      <c r="A33" s="484"/>
      <c r="B33" s="484"/>
      <c r="C33" s="484"/>
      <c r="D33" s="484"/>
      <c r="E33" s="484"/>
      <c r="F33" s="484"/>
      <c r="G33" s="485"/>
      <c r="H33" s="484"/>
      <c r="I33" s="484"/>
      <c r="J33" s="484"/>
      <c r="K33" s="484"/>
      <c r="L33" s="484"/>
      <c r="M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Z33" s="484"/>
      <c r="AB33" s="484"/>
      <c r="AD33" s="484"/>
      <c r="AF33" s="484"/>
      <c r="AH33" s="484"/>
      <c r="AJ33" s="484"/>
      <c r="AL33" s="484"/>
      <c r="AN33" s="484"/>
      <c r="AP33" s="484"/>
      <c r="AR33" s="484"/>
      <c r="AT33" s="484"/>
      <c r="AV33" s="484"/>
      <c r="AX33" s="484"/>
      <c r="AZ33" s="484"/>
      <c r="BB33" s="484"/>
      <c r="BD33" s="484"/>
      <c r="BF33" s="484"/>
      <c r="BH33" s="484"/>
      <c r="BJ33" s="484"/>
      <c r="BL33" s="484"/>
      <c r="BN33" s="484"/>
      <c r="BP33" s="484"/>
      <c r="BR33" s="484"/>
      <c r="BT33" s="484"/>
      <c r="BV33" s="484"/>
      <c r="BX33" s="484"/>
      <c r="BZ33" s="484"/>
      <c r="CB33" s="484"/>
      <c r="CD33" s="484"/>
      <c r="CF33" s="484"/>
      <c r="CH33" s="484"/>
      <c r="CJ33" s="484"/>
      <c r="CL33" s="484"/>
      <c r="CN33" s="484"/>
      <c r="CP33" s="484"/>
      <c r="CR33" s="484"/>
      <c r="CT33" s="484"/>
      <c r="CV33" s="484"/>
      <c r="CX33" s="484"/>
      <c r="CZ33" s="484"/>
      <c r="DB33" s="484"/>
      <c r="DD33" s="484"/>
      <c r="DF33" s="484"/>
      <c r="DH33" s="484"/>
      <c r="DJ33" s="484"/>
      <c r="DL33" s="484"/>
      <c r="DN33" s="484"/>
      <c r="DP33" s="484"/>
      <c r="DR33" s="484"/>
      <c r="DT33" s="484"/>
      <c r="DV33" s="484"/>
      <c r="DX33" s="484"/>
      <c r="DZ33" s="484"/>
      <c r="EB33" s="484"/>
      <c r="ED33" s="484"/>
      <c r="EF33" s="484"/>
      <c r="EH33" s="484"/>
      <c r="EJ33" s="484"/>
      <c r="EL33" s="484"/>
      <c r="EN33" s="484"/>
      <c r="EP33" s="484"/>
      <c r="ER33" s="484"/>
      <c r="ET33" s="484"/>
      <c r="EV33" s="484"/>
      <c r="EX33" s="484"/>
      <c r="EZ33" s="484"/>
      <c r="FB33" s="484"/>
      <c r="FD33" s="484"/>
      <c r="FF33" s="484"/>
      <c r="FH33" s="484"/>
      <c r="FJ33" s="484"/>
      <c r="FL33" s="484"/>
      <c r="FN33" s="484"/>
      <c r="FP33" s="484"/>
      <c r="FR33" s="484"/>
      <c r="FT33" s="484"/>
      <c r="FV33" s="484"/>
      <c r="FX33" s="484"/>
      <c r="FZ33" s="484"/>
      <c r="GB33" s="484"/>
      <c r="GD33" s="484"/>
      <c r="GF33" s="484"/>
      <c r="GH33" s="484"/>
      <c r="GJ33" s="484"/>
      <c r="GL33" s="484"/>
      <c r="GN33" s="484"/>
      <c r="GP33" s="484"/>
      <c r="GR33" s="484"/>
      <c r="GT33" s="484"/>
      <c r="GV33" s="484"/>
      <c r="GX33" s="484"/>
      <c r="GZ33" s="484"/>
      <c r="HB33" s="484"/>
      <c r="HD33" s="484"/>
      <c r="HF33" s="484"/>
      <c r="HH33" s="484"/>
      <c r="HJ33" s="484"/>
      <c r="HL33" s="484"/>
      <c r="HN33" s="484"/>
      <c r="HP33" s="484"/>
      <c r="HR33" s="484"/>
      <c r="HT33" s="484"/>
      <c r="HV33" s="484"/>
      <c r="HX33" s="484"/>
      <c r="HZ33" s="484"/>
      <c r="IB33" s="484"/>
      <c r="ID33" s="484"/>
      <c r="IF33" s="484"/>
      <c r="IH33" s="484"/>
      <c r="IJ33" s="484"/>
      <c r="IL33" s="484"/>
      <c r="IN33" s="484"/>
      <c r="IP33" s="484"/>
      <c r="IR33" s="484"/>
      <c r="IT33" s="484"/>
      <c r="IV33" s="484"/>
    </row>
    <row r="34" ht="21.75" customHeight="1" hidden="1"/>
    <row r="35" ht="21.75" customHeight="1" hidden="1"/>
    <row r="36" ht="21.75" hidden="1"/>
    <row r="37" ht="21.75" hidden="1"/>
    <row r="38" ht="21.75" hidden="1"/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  <row r="68" ht="21.75"/>
    <row r="69" ht="21.75"/>
    <row r="70" ht="21.75"/>
    <row r="71" ht="21.75"/>
    <row r="72" ht="21.75"/>
    <row r="73" ht="21.75"/>
    <row r="74" ht="21.75"/>
    <row r="75" ht="21.75"/>
    <row r="76" ht="21.75"/>
    <row r="77" ht="21.75"/>
    <row r="78" ht="21.75"/>
    <row r="79" ht="21.75"/>
    <row r="80" ht="21.75"/>
    <row r="81" ht="21.75"/>
    <row r="82" ht="21.75"/>
    <row r="83" ht="21.75"/>
    <row r="84" ht="21.75"/>
    <row r="85" ht="21.75"/>
    <row r="86" ht="21.75"/>
    <row r="87" ht="21.75"/>
    <row r="88" ht="21.75"/>
    <row r="89" ht="21.75"/>
    <row r="90" ht="21.75"/>
    <row r="91" ht="21.75"/>
    <row r="92" ht="21.75"/>
    <row r="93" ht="21.75"/>
    <row r="94" ht="21.75"/>
    <row r="95" ht="21.75"/>
    <row r="96" ht="21.75"/>
    <row r="97" ht="21.75"/>
    <row r="98" ht="21.75"/>
    <row r="99" ht="21.75"/>
    <row r="100" ht="21.75"/>
    <row r="101" ht="21.75"/>
    <row r="102" ht="21.75"/>
    <row r="103" ht="21.75"/>
    <row r="104" ht="21.75"/>
    <row r="105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1" ht="21.75"/>
    <row r="132" ht="21.75"/>
    <row r="133" ht="21.75"/>
    <row r="134" ht="21.75"/>
  </sheetData>
  <sheetProtection/>
  <mergeCells count="99">
    <mergeCell ref="R21:T21"/>
    <mergeCell ref="K21:N21"/>
    <mergeCell ref="O21:Q21"/>
    <mergeCell ref="R16:T16"/>
    <mergeCell ref="K16:N16"/>
    <mergeCell ref="R23:T23"/>
    <mergeCell ref="R22:T22"/>
    <mergeCell ref="B18:J18"/>
    <mergeCell ref="O17:Q17"/>
    <mergeCell ref="O22:Q22"/>
    <mergeCell ref="B22:H22"/>
    <mergeCell ref="K22:N22"/>
    <mergeCell ref="R17:T17"/>
    <mergeCell ref="K17:N17"/>
    <mergeCell ref="R19:T19"/>
    <mergeCell ref="R18:T18"/>
    <mergeCell ref="O18:Q18"/>
    <mergeCell ref="R24:T24"/>
    <mergeCell ref="U22:V22"/>
    <mergeCell ref="I21:J21"/>
    <mergeCell ref="U17:V17"/>
    <mergeCell ref="R20:T20"/>
    <mergeCell ref="U24:V24"/>
    <mergeCell ref="U20:V20"/>
    <mergeCell ref="U18:V18"/>
    <mergeCell ref="U19:V19"/>
    <mergeCell ref="K18:N18"/>
    <mergeCell ref="U12:V12"/>
    <mergeCell ref="O12:Q12"/>
    <mergeCell ref="R12:T12"/>
    <mergeCell ref="U13:V13"/>
    <mergeCell ref="U14:V14"/>
    <mergeCell ref="U15:V15"/>
    <mergeCell ref="B6:H6"/>
    <mergeCell ref="U10:V10"/>
    <mergeCell ref="B8:E8"/>
    <mergeCell ref="B9:E9"/>
    <mergeCell ref="F8:I8"/>
    <mergeCell ref="J8:K8"/>
    <mergeCell ref="N8:V8"/>
    <mergeCell ref="M9:V9"/>
    <mergeCell ref="B12:J12"/>
    <mergeCell ref="B10:J10"/>
    <mergeCell ref="K10:N10"/>
    <mergeCell ref="R10:T10"/>
    <mergeCell ref="R13:T13"/>
    <mergeCell ref="K12:N12"/>
    <mergeCell ref="K13:N13"/>
    <mergeCell ref="O13:Q13"/>
    <mergeCell ref="E4:V4"/>
    <mergeCell ref="I6:V6"/>
    <mergeCell ref="B11:J11"/>
    <mergeCell ref="K11:N11"/>
    <mergeCell ref="O10:Q10"/>
    <mergeCell ref="O11:Q11"/>
    <mergeCell ref="R11:T11"/>
    <mergeCell ref="U11:V11"/>
    <mergeCell ref="B5:D5"/>
    <mergeCell ref="E5:V5"/>
    <mergeCell ref="A1:V1"/>
    <mergeCell ref="A2:V2"/>
    <mergeCell ref="B3:D3"/>
    <mergeCell ref="B4:D4"/>
    <mergeCell ref="E3:V3"/>
    <mergeCell ref="G26:I26"/>
    <mergeCell ref="B25:F25"/>
    <mergeCell ref="G25:I25"/>
    <mergeCell ref="M26:V26"/>
    <mergeCell ref="J25:L25"/>
    <mergeCell ref="M25:V25"/>
    <mergeCell ref="U23:V23"/>
    <mergeCell ref="J27:L27"/>
    <mergeCell ref="B21:H21"/>
    <mergeCell ref="B19:H19"/>
    <mergeCell ref="I19:J19"/>
    <mergeCell ref="J26:L26"/>
    <mergeCell ref="B26:F26"/>
    <mergeCell ref="I20:J20"/>
    <mergeCell ref="B20:H20"/>
    <mergeCell ref="B24:E24"/>
    <mergeCell ref="F24:Q24"/>
    <mergeCell ref="K20:N20"/>
    <mergeCell ref="K19:N19"/>
    <mergeCell ref="O20:Q20"/>
    <mergeCell ref="B16:J16"/>
    <mergeCell ref="B17:J17"/>
    <mergeCell ref="B23:Q23"/>
    <mergeCell ref="I22:J22"/>
    <mergeCell ref="O19:Q19"/>
    <mergeCell ref="B15:J15"/>
    <mergeCell ref="K14:N14"/>
    <mergeCell ref="O14:Q14"/>
    <mergeCell ref="K15:N15"/>
    <mergeCell ref="O15:Q15"/>
    <mergeCell ref="U21:V21"/>
    <mergeCell ref="R15:T15"/>
    <mergeCell ref="R14:T14"/>
    <mergeCell ref="U16:V16"/>
    <mergeCell ref="O16:Q16"/>
  </mergeCells>
  <printOptions horizontalCentered="1"/>
  <pageMargins left="0.1968503937007874" right="0.1968503937007874" top="0.4724409448818898" bottom="0.11811023622047245" header="0.3937007874015748" footer="0.6299212598425197"/>
  <pageSetup horizontalDpi="600" verticalDpi="600" orientation="portrait" paperSize="9" r:id="rId1"/>
  <headerFooter alignWithMargins="0">
    <oddHeader>&amp;R&amp;"TH SarabunPSK,Regular"แบบ ปร.5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R29"/>
  <sheetViews>
    <sheetView showGridLines="0" zoomScale="120" zoomScaleNormal="120" zoomScalePageLayoutView="0" workbookViewId="0" topLeftCell="A1">
      <selection activeCell="A1" sqref="A1:E1"/>
    </sheetView>
  </sheetViews>
  <sheetFormatPr defaultColWidth="0" defaultRowHeight="21.75" zeroHeight="1"/>
  <cols>
    <col min="1" max="1" width="6.7109375" style="0" customWidth="1"/>
    <col min="2" max="2" width="6.28125" style="0" customWidth="1"/>
    <col min="3" max="8" width="5.57421875" style="0" customWidth="1"/>
    <col min="9" max="9" width="5.421875" style="0" customWidth="1"/>
    <col min="10" max="13" width="5.57421875" style="0" customWidth="1"/>
    <col min="14" max="14" width="1.7109375" style="0" customWidth="1"/>
    <col min="15" max="16" width="6.7109375" style="0" customWidth="1"/>
    <col min="17" max="18" width="5.28125" style="0" customWidth="1"/>
    <col min="19" max="19" width="9.140625" style="0" customWidth="1"/>
    <col min="20" max="16384" width="0" style="0" hidden="1" customWidth="1"/>
  </cols>
  <sheetData>
    <row r="1" spans="1:18" ht="21.75">
      <c r="A1" s="773" t="s">
        <v>568</v>
      </c>
      <c r="B1" s="773"/>
      <c r="C1" s="773"/>
      <c r="D1" s="773"/>
      <c r="E1" s="773"/>
      <c r="F1" s="774" t="str">
        <f>'ปร.5'!E3</f>
        <v>งานอาคาร</v>
      </c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</row>
    <row r="2" spans="1:18" ht="21.75">
      <c r="A2" s="773" t="s">
        <v>494</v>
      </c>
      <c r="B2" s="773"/>
      <c r="C2" s="773"/>
      <c r="D2" s="775" t="str">
        <f>'ปร.5'!E5</f>
        <v>มหาวิทยาลัยเทคโนโลยีราชมงคลกรุงเทพ  (เทคนิคกรุงเทพฯ)</v>
      </c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</row>
    <row r="3" spans="1:18" ht="22.5" thickBot="1">
      <c r="A3" s="745"/>
      <c r="B3" s="745"/>
      <c r="C3" s="745"/>
      <c r="D3" s="776"/>
      <c r="E3" s="776"/>
      <c r="F3" s="776"/>
      <c r="G3" s="776"/>
      <c r="H3" s="776"/>
      <c r="I3" s="776"/>
      <c r="J3" s="776"/>
      <c r="K3" s="776"/>
      <c r="L3" s="776"/>
      <c r="M3" s="745"/>
      <c r="N3" s="745"/>
      <c r="O3" s="745"/>
      <c r="P3" s="745"/>
      <c r="Q3" s="745"/>
      <c r="R3" s="745"/>
    </row>
    <row r="4" spans="1:18" ht="44.25" customHeight="1" thickBot="1" thickTop="1">
      <c r="A4" s="16" t="s">
        <v>496</v>
      </c>
      <c r="B4" s="779" t="s">
        <v>497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1"/>
      <c r="O4" s="782" t="s">
        <v>513</v>
      </c>
      <c r="P4" s="783"/>
      <c r="Q4" s="780" t="s">
        <v>502</v>
      </c>
      <c r="R4" s="781"/>
    </row>
    <row r="5" spans="1:18" ht="22.5" thickTop="1">
      <c r="A5" s="10"/>
      <c r="B5" s="761" t="s">
        <v>529</v>
      </c>
      <c r="C5" s="762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3"/>
      <c r="O5" s="754"/>
      <c r="P5" s="755"/>
      <c r="Q5" s="754"/>
      <c r="R5" s="755"/>
    </row>
    <row r="6" spans="1:18" ht="21.75">
      <c r="A6" s="11">
        <v>1</v>
      </c>
      <c r="B6" s="777" t="e">
        <f>#REF!</f>
        <v>#REF!</v>
      </c>
      <c r="C6" s="778"/>
      <c r="D6" s="778"/>
      <c r="E6" s="778"/>
      <c r="F6" s="778"/>
      <c r="G6" s="778"/>
      <c r="H6" s="778"/>
      <c r="I6" s="778"/>
      <c r="J6" s="778"/>
      <c r="K6" s="756" t="s">
        <v>530</v>
      </c>
      <c r="L6" s="756"/>
      <c r="M6" s="756"/>
      <c r="N6" s="753"/>
      <c r="O6" s="765"/>
      <c r="P6" s="764"/>
      <c r="Q6" s="754"/>
      <c r="R6" s="755"/>
    </row>
    <row r="7" spans="1:18" ht="21.75">
      <c r="A7" s="11">
        <v>2</v>
      </c>
      <c r="B7" s="777" t="e">
        <f>#REF!</f>
        <v>#REF!</v>
      </c>
      <c r="C7" s="778"/>
      <c r="D7" s="778"/>
      <c r="E7" s="778"/>
      <c r="F7" s="778"/>
      <c r="G7" s="778"/>
      <c r="H7" s="778"/>
      <c r="I7" s="778"/>
      <c r="J7" s="778"/>
      <c r="K7" s="756" t="s">
        <v>530</v>
      </c>
      <c r="L7" s="756"/>
      <c r="M7" s="756"/>
      <c r="N7" s="753"/>
      <c r="O7" s="765"/>
      <c r="P7" s="764"/>
      <c r="Q7" s="754"/>
      <c r="R7" s="755"/>
    </row>
    <row r="8" spans="1:18" ht="21.75">
      <c r="A8" s="10"/>
      <c r="B8" s="766"/>
      <c r="C8" s="767"/>
      <c r="D8" s="767"/>
      <c r="E8" s="767"/>
      <c r="F8" s="767"/>
      <c r="G8" s="767"/>
      <c r="H8" s="767"/>
      <c r="I8" s="767"/>
      <c r="J8" s="767"/>
      <c r="K8" s="756"/>
      <c r="L8" s="756"/>
      <c r="M8" s="756"/>
      <c r="N8" s="753"/>
      <c r="O8" s="763"/>
      <c r="P8" s="764"/>
      <c r="Q8" s="754"/>
      <c r="R8" s="755"/>
    </row>
    <row r="9" spans="1:18" ht="21.75">
      <c r="A9" s="10"/>
      <c r="B9" s="766"/>
      <c r="C9" s="767"/>
      <c r="D9" s="767"/>
      <c r="E9" s="767"/>
      <c r="F9" s="767"/>
      <c r="G9" s="767"/>
      <c r="H9" s="767"/>
      <c r="I9" s="767"/>
      <c r="J9" s="767"/>
      <c r="K9" s="756"/>
      <c r="L9" s="756"/>
      <c r="M9" s="756"/>
      <c r="N9" s="753"/>
      <c r="O9" s="763"/>
      <c r="P9" s="764"/>
      <c r="Q9" s="754"/>
      <c r="R9" s="755"/>
    </row>
    <row r="10" spans="1:18" ht="21.75">
      <c r="A10" s="10"/>
      <c r="B10" s="766"/>
      <c r="C10" s="767"/>
      <c r="D10" s="767"/>
      <c r="E10" s="767"/>
      <c r="F10" s="767"/>
      <c r="G10" s="767"/>
      <c r="H10" s="767"/>
      <c r="I10" s="767"/>
      <c r="J10" s="767"/>
      <c r="K10" s="756"/>
      <c r="L10" s="756"/>
      <c r="M10" s="756"/>
      <c r="N10" s="753"/>
      <c r="O10" s="763"/>
      <c r="P10" s="764"/>
      <c r="Q10" s="754"/>
      <c r="R10" s="755"/>
    </row>
    <row r="11" spans="1:18" ht="21.75">
      <c r="A11" s="10"/>
      <c r="B11" s="766"/>
      <c r="C11" s="767"/>
      <c r="D11" s="767"/>
      <c r="E11" s="767"/>
      <c r="F11" s="767"/>
      <c r="G11" s="767"/>
      <c r="H11" s="767"/>
      <c r="I11" s="767"/>
      <c r="J11" s="767"/>
      <c r="K11" s="756"/>
      <c r="L11" s="756"/>
      <c r="M11" s="756"/>
      <c r="N11" s="753"/>
      <c r="O11" s="763"/>
      <c r="P11" s="764"/>
      <c r="Q11" s="754"/>
      <c r="R11" s="755"/>
    </row>
    <row r="12" spans="1:18" ht="21.75">
      <c r="A12" s="10"/>
      <c r="B12" s="766"/>
      <c r="C12" s="767"/>
      <c r="D12" s="767"/>
      <c r="E12" s="767"/>
      <c r="F12" s="767"/>
      <c r="G12" s="767"/>
      <c r="H12" s="767"/>
      <c r="I12" s="767"/>
      <c r="J12" s="767"/>
      <c r="K12" s="756"/>
      <c r="L12" s="756"/>
      <c r="M12" s="756"/>
      <c r="N12" s="753"/>
      <c r="O12" s="787"/>
      <c r="P12" s="788"/>
      <c r="Q12" s="754"/>
      <c r="R12" s="755"/>
    </row>
    <row r="13" spans="1:18" ht="22.5" thickBot="1">
      <c r="A13" s="10"/>
      <c r="B13" s="770" t="s">
        <v>532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2"/>
      <c r="O13" s="759"/>
      <c r="P13" s="760"/>
      <c r="Q13" s="752" t="s">
        <v>531</v>
      </c>
      <c r="R13" s="753"/>
    </row>
    <row r="14" spans="1:18" ht="22.5" thickTop="1">
      <c r="A14" s="10"/>
      <c r="B14" s="785"/>
      <c r="C14" s="786"/>
      <c r="D14" s="784" t="s">
        <v>672</v>
      </c>
      <c r="E14" s="784"/>
      <c r="F14" s="784"/>
      <c r="G14" s="784"/>
      <c r="H14" s="784"/>
      <c r="I14" s="784"/>
      <c r="J14" s="784"/>
      <c r="K14" s="784"/>
      <c r="L14" s="784"/>
      <c r="M14" s="784"/>
      <c r="N14" s="54" t="s">
        <v>521</v>
      </c>
      <c r="O14" s="768"/>
      <c r="P14" s="769"/>
      <c r="Q14" s="754"/>
      <c r="R14" s="755"/>
    </row>
    <row r="15" spans="1:18" ht="21.75">
      <c r="A15" s="10"/>
      <c r="B15" s="52"/>
      <c r="C15" s="51"/>
      <c r="D15" s="757" t="s">
        <v>673</v>
      </c>
      <c r="E15" s="757"/>
      <c r="F15" s="757"/>
      <c r="G15" s="757"/>
      <c r="H15" s="757"/>
      <c r="I15" s="757"/>
      <c r="J15" s="757"/>
      <c r="K15" s="757"/>
      <c r="L15" s="757"/>
      <c r="M15" s="757"/>
      <c r="N15" s="758"/>
      <c r="O15" s="754"/>
      <c r="P15" s="755"/>
      <c r="Q15" s="754"/>
      <c r="R15" s="755"/>
    </row>
    <row r="16" spans="1:18" ht="21.75">
      <c r="A16" s="12"/>
      <c r="B16" s="740"/>
      <c r="C16" s="741"/>
      <c r="D16" s="741"/>
      <c r="E16" s="742"/>
      <c r="F16" s="742"/>
      <c r="G16" s="742"/>
      <c r="H16" s="742"/>
      <c r="I16" s="742"/>
      <c r="J16" s="742"/>
      <c r="K16" s="742"/>
      <c r="L16" s="742"/>
      <c r="M16" s="742"/>
      <c r="N16" s="13"/>
      <c r="O16" s="743"/>
      <c r="P16" s="744"/>
      <c r="Q16" s="743"/>
      <c r="R16" s="744"/>
    </row>
    <row r="17" spans="1:18" ht="21.75">
      <c r="A17" s="9"/>
      <c r="B17" s="2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1.75">
      <c r="A18" s="9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4">
      <c r="A20" s="9"/>
      <c r="B20" s="746" t="s">
        <v>549</v>
      </c>
      <c r="C20" s="746"/>
      <c r="D20" s="746"/>
      <c r="E20" s="747" t="s">
        <v>526</v>
      </c>
      <c r="F20" s="747"/>
      <c r="G20" s="747"/>
      <c r="H20" s="747"/>
      <c r="I20" s="747"/>
      <c r="J20" s="747"/>
      <c r="K20" s="747"/>
      <c r="L20" s="747"/>
      <c r="M20" s="747"/>
      <c r="N20" s="745" t="s">
        <v>552</v>
      </c>
      <c r="O20" s="745"/>
      <c r="P20" s="745"/>
      <c r="Q20" s="745"/>
      <c r="R20" s="745"/>
    </row>
    <row r="21" spans="1:18" ht="24">
      <c r="A21" s="9"/>
      <c r="B21" s="749"/>
      <c r="C21" s="749"/>
      <c r="D21" s="749"/>
      <c r="E21" s="751" t="s">
        <v>674</v>
      </c>
      <c r="F21" s="751"/>
      <c r="G21" s="751"/>
      <c r="H21" s="751"/>
      <c r="I21" s="751"/>
      <c r="J21" s="751"/>
      <c r="K21" s="751"/>
      <c r="L21" s="751"/>
      <c r="M21" s="751"/>
      <c r="N21" s="9"/>
      <c r="O21" s="9"/>
      <c r="P21" s="9"/>
      <c r="Q21" s="9"/>
      <c r="R21" s="9"/>
    </row>
    <row r="22" spans="1:18" ht="24">
      <c r="A22" s="9"/>
      <c r="B22" s="24"/>
      <c r="C22" s="24"/>
      <c r="D22" s="24"/>
      <c r="E22" s="26"/>
      <c r="F22" s="26"/>
      <c r="G22" s="26"/>
      <c r="H22" s="26"/>
      <c r="I22" s="26"/>
      <c r="J22" s="26"/>
      <c r="K22" s="26"/>
      <c r="L22" s="26"/>
      <c r="M22" s="26"/>
      <c r="N22" s="9"/>
      <c r="O22" s="9"/>
      <c r="P22" s="9"/>
      <c r="Q22" s="9"/>
      <c r="R22" s="9"/>
    </row>
    <row r="23" spans="1:18" ht="27.75">
      <c r="A23" s="9"/>
      <c r="B23" s="746" t="s">
        <v>675</v>
      </c>
      <c r="C23" s="746"/>
      <c r="D23" s="746"/>
      <c r="E23" s="748" t="s">
        <v>526</v>
      </c>
      <c r="F23" s="748"/>
      <c r="G23" s="748"/>
      <c r="H23" s="748"/>
      <c r="I23" s="748"/>
      <c r="J23" s="748"/>
      <c r="K23" s="748"/>
      <c r="L23" s="748"/>
      <c r="M23" s="748"/>
      <c r="N23" s="9"/>
      <c r="O23" s="9"/>
      <c r="P23" s="9"/>
      <c r="Q23" s="9"/>
      <c r="R23" s="9"/>
    </row>
    <row r="24" spans="1:18" ht="27.75">
      <c r="A24" s="9"/>
      <c r="B24" s="53"/>
      <c r="C24" s="53"/>
      <c r="D24" s="53"/>
      <c r="E24" s="55"/>
      <c r="F24" s="55"/>
      <c r="G24" s="55"/>
      <c r="H24" s="55"/>
      <c r="I24" s="55"/>
      <c r="J24" s="55"/>
      <c r="K24" s="55"/>
      <c r="L24" s="55"/>
      <c r="M24" s="55"/>
      <c r="N24" s="9"/>
      <c r="O24" s="9"/>
      <c r="P24" s="9"/>
      <c r="Q24" s="9"/>
      <c r="R24" s="9"/>
    </row>
    <row r="25" spans="1:18" ht="27.75">
      <c r="A25" s="9"/>
      <c r="B25" s="749"/>
      <c r="C25" s="749"/>
      <c r="D25" s="749"/>
      <c r="E25" s="750" t="s">
        <v>676</v>
      </c>
      <c r="F25" s="748"/>
      <c r="G25" s="748"/>
      <c r="H25" s="748"/>
      <c r="I25" s="748"/>
      <c r="J25" s="748"/>
      <c r="K25" s="748"/>
      <c r="L25" s="748"/>
      <c r="M25" s="748"/>
      <c r="N25" s="9"/>
      <c r="O25" s="9"/>
      <c r="P25" s="9"/>
      <c r="Q25" s="9"/>
      <c r="R25" s="9"/>
    </row>
    <row r="26" spans="1:18" ht="27.75">
      <c r="A26" s="9"/>
      <c r="B26" s="24"/>
      <c r="C26" s="24"/>
      <c r="D26" s="24"/>
      <c r="E26" s="55"/>
      <c r="F26" s="55"/>
      <c r="G26" s="55"/>
      <c r="H26" s="55"/>
      <c r="I26" s="55"/>
      <c r="J26" s="55"/>
      <c r="K26" s="55"/>
      <c r="L26" s="55"/>
      <c r="M26" s="55"/>
      <c r="N26" s="9"/>
      <c r="O26" s="9"/>
      <c r="P26" s="9"/>
      <c r="Q26" s="9"/>
      <c r="R26" s="9"/>
    </row>
    <row r="27" spans="1:18" ht="21.75">
      <c r="A27" s="9"/>
      <c r="B27" s="2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ht="27.75">
      <c r="B28" s="746" t="s">
        <v>549</v>
      </c>
      <c r="C28" s="746"/>
      <c r="D28" s="746"/>
      <c r="E28" s="748" t="s">
        <v>526</v>
      </c>
      <c r="F28" s="748"/>
      <c r="G28" s="748"/>
      <c r="H28" s="748"/>
      <c r="I28" s="748"/>
      <c r="J28" s="748"/>
      <c r="K28" s="748"/>
      <c r="L28" s="748"/>
      <c r="M28" s="748"/>
      <c r="N28" s="745" t="s">
        <v>555</v>
      </c>
      <c r="O28" s="745"/>
      <c r="P28" s="745"/>
      <c r="Q28" s="745"/>
      <c r="R28" s="745"/>
    </row>
    <row r="29" spans="5:13" ht="24">
      <c r="E29" s="751" t="s">
        <v>674</v>
      </c>
      <c r="F29" s="751"/>
      <c r="G29" s="751"/>
      <c r="H29" s="751"/>
      <c r="I29" s="751"/>
      <c r="J29" s="751"/>
      <c r="K29" s="751"/>
      <c r="L29" s="751"/>
      <c r="M29" s="751"/>
    </row>
    <row r="30" ht="21.75"/>
    <row r="31" ht="21.75"/>
    <row r="32" ht="21.75"/>
    <row r="33" ht="21.75"/>
    <row r="34" ht="21.75"/>
    <row r="35" ht="21.75"/>
    <row r="36" ht="21.75"/>
    <row r="37" ht="21.75"/>
    <row r="38" ht="21.75"/>
  </sheetData>
  <sheetProtection/>
  <mergeCells count="69">
    <mergeCell ref="O15:P15"/>
    <mergeCell ref="B12:J12"/>
    <mergeCell ref="K12:N12"/>
    <mergeCell ref="B10:J10"/>
    <mergeCell ref="D14:M14"/>
    <mergeCell ref="B14:C14"/>
    <mergeCell ref="O12:P12"/>
    <mergeCell ref="M3:R3"/>
    <mergeCell ref="B4:N4"/>
    <mergeCell ref="O4:P4"/>
    <mergeCell ref="Q4:R4"/>
    <mergeCell ref="Q10:R10"/>
    <mergeCell ref="B11:J11"/>
    <mergeCell ref="B6:J6"/>
    <mergeCell ref="Q5:R5"/>
    <mergeCell ref="O7:P7"/>
    <mergeCell ref="Q7:R7"/>
    <mergeCell ref="A1:E1"/>
    <mergeCell ref="F1:R1"/>
    <mergeCell ref="A2:C2"/>
    <mergeCell ref="D2:R2"/>
    <mergeCell ref="K10:N10"/>
    <mergeCell ref="A3:C3"/>
    <mergeCell ref="D3:L3"/>
    <mergeCell ref="B7:J7"/>
    <mergeCell ref="K8:N8"/>
    <mergeCell ref="Q6:R6"/>
    <mergeCell ref="Q8:R8"/>
    <mergeCell ref="O14:P14"/>
    <mergeCell ref="Q14:R14"/>
    <mergeCell ref="B8:J8"/>
    <mergeCell ref="O9:P9"/>
    <mergeCell ref="K11:N11"/>
    <mergeCell ref="O11:P11"/>
    <mergeCell ref="Q11:R11"/>
    <mergeCell ref="O10:P10"/>
    <mergeCell ref="B13:N13"/>
    <mergeCell ref="B5:C5"/>
    <mergeCell ref="D5:N5"/>
    <mergeCell ref="O5:P5"/>
    <mergeCell ref="O8:P8"/>
    <mergeCell ref="O6:P6"/>
    <mergeCell ref="B9:J9"/>
    <mergeCell ref="K7:N7"/>
    <mergeCell ref="K6:N6"/>
    <mergeCell ref="Q13:R13"/>
    <mergeCell ref="Q9:R9"/>
    <mergeCell ref="Q12:R12"/>
    <mergeCell ref="K9:N9"/>
    <mergeCell ref="E29:M29"/>
    <mergeCell ref="N28:R28"/>
    <mergeCell ref="Q15:R15"/>
    <mergeCell ref="D15:N15"/>
    <mergeCell ref="O13:P13"/>
    <mergeCell ref="B28:D28"/>
    <mergeCell ref="E28:M28"/>
    <mergeCell ref="B23:D23"/>
    <mergeCell ref="E23:M23"/>
    <mergeCell ref="B25:D25"/>
    <mergeCell ref="E25:M25"/>
    <mergeCell ref="B21:D21"/>
    <mergeCell ref="E21:M21"/>
    <mergeCell ref="B16:D16"/>
    <mergeCell ref="E16:M16"/>
    <mergeCell ref="O16:P16"/>
    <mergeCell ref="Q16:R16"/>
    <mergeCell ref="N20:R20"/>
    <mergeCell ref="B20:D20"/>
    <mergeCell ref="E20:M20"/>
  </mergeCells>
  <printOptions horizontalCentered="1"/>
  <pageMargins left="0.4724409448818898" right="0.1968503937007874" top="0.5905511811023623" bottom="0.3937007874015748" header="0.3937007874015748" footer="0.5118110236220472"/>
  <pageSetup orientation="portrait" paperSize="9" r:id="rId1"/>
  <headerFooter alignWithMargins="0">
    <oddHeader>&amp;Rแบบ ปร.6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28"/>
  <sheetViews>
    <sheetView showGridLines="0" zoomScalePageLayoutView="0" workbookViewId="0" topLeftCell="A1">
      <selection activeCell="A1" sqref="A1:H1"/>
    </sheetView>
  </sheetViews>
  <sheetFormatPr defaultColWidth="0" defaultRowHeight="21.75" zeroHeight="1"/>
  <cols>
    <col min="1" max="1" width="8.7109375" style="0" customWidth="1"/>
    <col min="2" max="17" width="5.7109375" style="0" customWidth="1"/>
    <col min="18" max="18" width="1.7109375" style="0" customWidth="1"/>
    <col min="19" max="20" width="15.7109375" style="0" customWidth="1"/>
    <col min="21" max="21" width="4.7109375" style="0" customWidth="1"/>
    <col min="22" max="16384" width="0" style="0" hidden="1" customWidth="1"/>
  </cols>
  <sheetData>
    <row r="1" spans="1:20" ht="21.75">
      <c r="A1" s="789" t="s">
        <v>533</v>
      </c>
      <c r="B1" s="789"/>
      <c r="C1" s="789"/>
      <c r="D1" s="789"/>
      <c r="E1" s="789"/>
      <c r="F1" s="789"/>
      <c r="G1" s="789"/>
      <c r="H1" s="789"/>
      <c r="I1" s="790" t="str">
        <f>'ปร.5'!E3</f>
        <v>งานอาคาร</v>
      </c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</row>
    <row r="2" spans="1:20" ht="21.75">
      <c r="A2" s="789" t="s">
        <v>534</v>
      </c>
      <c r="B2" s="789"/>
      <c r="C2" s="789"/>
      <c r="D2" s="791" t="s">
        <v>535</v>
      </c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25" t="s">
        <v>536</v>
      </c>
    </row>
    <row r="3" spans="1:20" ht="21.75">
      <c r="A3" s="793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</row>
    <row r="4" spans="1:20" ht="18" customHeight="1">
      <c r="A4" s="794" t="s">
        <v>496</v>
      </c>
      <c r="B4" s="804" t="s">
        <v>537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6"/>
      <c r="S4" s="810" t="s">
        <v>538</v>
      </c>
      <c r="T4" s="794" t="s">
        <v>502</v>
      </c>
    </row>
    <row r="5" spans="1:20" ht="18" customHeight="1">
      <c r="A5" s="795"/>
      <c r="B5" s="807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9"/>
      <c r="S5" s="811"/>
      <c r="T5" s="795"/>
    </row>
    <row r="6" spans="1:20" ht="19.5" customHeight="1">
      <c r="A6" s="21">
        <v>1</v>
      </c>
      <c r="B6" s="802" t="s">
        <v>670</v>
      </c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798"/>
      <c r="O6" s="798"/>
      <c r="P6" s="798"/>
      <c r="Q6" s="798"/>
      <c r="R6" s="799"/>
      <c r="S6" s="2"/>
      <c r="T6" s="2"/>
    </row>
    <row r="7" spans="1:20" ht="19.5" customHeight="1">
      <c r="A7" s="8"/>
      <c r="B7" s="796" t="s">
        <v>539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56" t="s">
        <v>530</v>
      </c>
      <c r="O7" s="756"/>
      <c r="P7" s="756"/>
      <c r="Q7" s="756"/>
      <c r="R7" s="753"/>
      <c r="S7" s="3"/>
      <c r="T7" s="3"/>
    </row>
    <row r="8" spans="1:20" ht="19.5" customHeight="1">
      <c r="A8" s="8"/>
      <c r="B8" s="796" t="s">
        <v>540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56" t="s">
        <v>530</v>
      </c>
      <c r="O8" s="756"/>
      <c r="P8" s="756"/>
      <c r="Q8" s="756"/>
      <c r="R8" s="753"/>
      <c r="S8" s="3"/>
      <c r="T8" s="3"/>
    </row>
    <row r="9" spans="1:20" ht="19.5" customHeight="1">
      <c r="A9" s="8"/>
      <c r="B9" s="796" t="s">
        <v>541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56" t="s">
        <v>530</v>
      </c>
      <c r="O9" s="756"/>
      <c r="P9" s="756"/>
      <c r="Q9" s="756"/>
      <c r="R9" s="753"/>
      <c r="S9" s="3"/>
      <c r="T9" s="3"/>
    </row>
    <row r="10" spans="1:20" ht="19.5" customHeight="1">
      <c r="A10" s="8"/>
      <c r="B10" s="796" t="s">
        <v>542</v>
      </c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56" t="s">
        <v>530</v>
      </c>
      <c r="O10" s="756"/>
      <c r="P10" s="756"/>
      <c r="Q10" s="756"/>
      <c r="R10" s="753"/>
      <c r="S10" s="3"/>
      <c r="T10" s="3"/>
    </row>
    <row r="11" spans="1:20" ht="19.5" customHeight="1">
      <c r="A11" s="8"/>
      <c r="B11" s="796" t="s">
        <v>543</v>
      </c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56" t="s">
        <v>530</v>
      </c>
      <c r="O11" s="756"/>
      <c r="P11" s="756"/>
      <c r="Q11" s="756"/>
      <c r="R11" s="753"/>
      <c r="S11" s="3"/>
      <c r="T11" s="3"/>
    </row>
    <row r="12" spans="1:20" ht="19.5" customHeight="1">
      <c r="A12" s="8"/>
      <c r="B12" s="796" t="s">
        <v>563</v>
      </c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56" t="s">
        <v>530</v>
      </c>
      <c r="O12" s="756"/>
      <c r="P12" s="756"/>
      <c r="Q12" s="756"/>
      <c r="R12" s="753"/>
      <c r="S12" s="3"/>
      <c r="T12" s="3"/>
    </row>
    <row r="13" spans="1:20" ht="19.5" customHeight="1">
      <c r="A13" s="8"/>
      <c r="B13" s="796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56"/>
      <c r="O13" s="756"/>
      <c r="P13" s="756"/>
      <c r="Q13" s="756"/>
      <c r="R13" s="753"/>
      <c r="S13" s="3"/>
      <c r="T13" s="3"/>
    </row>
    <row r="14" spans="1:20" ht="19.5" customHeight="1">
      <c r="A14" s="8"/>
      <c r="B14" s="817" t="s">
        <v>544</v>
      </c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756"/>
      <c r="O14" s="756"/>
      <c r="P14" s="756"/>
      <c r="Q14" s="756"/>
      <c r="R14" s="753"/>
      <c r="S14" s="3"/>
      <c r="T14" s="3"/>
    </row>
    <row r="15" spans="1:20" ht="19.5" customHeight="1">
      <c r="A15" s="8">
        <v>2</v>
      </c>
      <c r="B15" s="820" t="s">
        <v>545</v>
      </c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756" t="s">
        <v>546</v>
      </c>
      <c r="O15" s="756"/>
      <c r="P15" s="756"/>
      <c r="Q15" s="756"/>
      <c r="R15" s="753"/>
      <c r="S15" s="3"/>
      <c r="T15" s="3"/>
    </row>
    <row r="16" spans="1:20" ht="19.5" customHeight="1">
      <c r="A16" s="8">
        <v>3</v>
      </c>
      <c r="B16" s="820" t="s">
        <v>547</v>
      </c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756" t="s">
        <v>546</v>
      </c>
      <c r="O16" s="756"/>
      <c r="P16" s="756"/>
      <c r="Q16" s="756"/>
      <c r="R16" s="753"/>
      <c r="S16" s="3"/>
      <c r="T16" s="3"/>
    </row>
    <row r="17" spans="1:20" ht="19.5" customHeight="1">
      <c r="A17" s="8">
        <v>4</v>
      </c>
      <c r="B17" s="820" t="s">
        <v>548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756" t="s">
        <v>546</v>
      </c>
      <c r="O17" s="756"/>
      <c r="P17" s="756"/>
      <c r="Q17" s="756"/>
      <c r="R17" s="753"/>
      <c r="S17" s="18"/>
      <c r="T17" s="3"/>
    </row>
    <row r="18" spans="1:20" ht="19.5" customHeight="1" thickBot="1">
      <c r="A18" s="3"/>
      <c r="B18" s="785" t="s">
        <v>520</v>
      </c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56"/>
      <c r="O18" s="756"/>
      <c r="P18" s="756"/>
      <c r="Q18" s="756"/>
      <c r="R18" s="753"/>
      <c r="S18" s="19"/>
      <c r="T18" s="3"/>
    </row>
    <row r="19" spans="1:20" ht="19.5" customHeight="1" thickTop="1">
      <c r="A19" s="1"/>
      <c r="B19" s="812" t="s">
        <v>556</v>
      </c>
      <c r="C19" s="741"/>
      <c r="D19" s="741"/>
      <c r="E19" s="741"/>
      <c r="F19" s="741"/>
      <c r="G19" s="813" t="s">
        <v>557</v>
      </c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20" t="s">
        <v>521</v>
      </c>
      <c r="S19" s="1"/>
      <c r="T19" s="1"/>
    </row>
    <row r="20" spans="1:20" ht="21.75">
      <c r="A20" s="17"/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00"/>
      <c r="O20" s="800"/>
      <c r="P20" s="800"/>
      <c r="Q20" s="800"/>
      <c r="R20" s="800"/>
      <c r="S20" s="17"/>
      <c r="T20" s="17"/>
    </row>
    <row r="21" spans="6:18" ht="21.75">
      <c r="F21" s="801" t="s">
        <v>549</v>
      </c>
      <c r="G21" s="801"/>
      <c r="H21" s="815" t="s">
        <v>550</v>
      </c>
      <c r="I21" s="815"/>
      <c r="J21" s="815"/>
      <c r="K21" s="815"/>
      <c r="L21" s="815"/>
      <c r="M21" s="815"/>
      <c r="N21" s="815"/>
      <c r="O21" s="815"/>
      <c r="P21" s="815"/>
      <c r="Q21" s="815"/>
      <c r="R21" s="815"/>
    </row>
    <row r="22" spans="6:18" ht="21.75">
      <c r="F22" s="793"/>
      <c r="G22" s="793"/>
      <c r="H22" s="792" t="s">
        <v>551</v>
      </c>
      <c r="I22" s="792"/>
      <c r="J22" s="792"/>
      <c r="K22" s="792"/>
      <c r="L22" s="792"/>
      <c r="M22" s="792"/>
      <c r="N22" s="792"/>
      <c r="O22" s="792"/>
      <c r="P22" s="792"/>
      <c r="Q22" s="792"/>
      <c r="R22" s="792"/>
    </row>
    <row r="23" spans="6:18" ht="21.75">
      <c r="F23" s="793"/>
      <c r="G23" s="793"/>
      <c r="H23" s="792" t="s">
        <v>552</v>
      </c>
      <c r="I23" s="792"/>
      <c r="J23" s="792"/>
      <c r="K23" s="792"/>
      <c r="L23" s="792"/>
      <c r="M23" s="792"/>
      <c r="N23" s="792"/>
      <c r="O23" s="792"/>
      <c r="P23" s="792"/>
      <c r="Q23" s="792"/>
      <c r="R23" s="792"/>
    </row>
    <row r="24" spans="6:18" ht="21.75">
      <c r="F24" s="793" t="s">
        <v>553</v>
      </c>
      <c r="G24" s="793"/>
      <c r="H24" s="816" t="s">
        <v>550</v>
      </c>
      <c r="I24" s="816"/>
      <c r="J24" s="816"/>
      <c r="K24" s="816"/>
      <c r="L24" s="816"/>
      <c r="M24" s="816"/>
      <c r="N24" s="816"/>
      <c r="O24" s="816"/>
      <c r="P24" s="816"/>
      <c r="Q24" s="816"/>
      <c r="R24" s="816"/>
    </row>
    <row r="25" spans="6:18" ht="21.75">
      <c r="F25" s="793"/>
      <c r="G25" s="793"/>
      <c r="H25" s="792" t="s">
        <v>554</v>
      </c>
      <c r="I25" s="792"/>
      <c r="J25" s="792"/>
      <c r="K25" s="792"/>
      <c r="L25" s="792"/>
      <c r="M25" s="792"/>
      <c r="N25" s="792"/>
      <c r="O25" s="792"/>
      <c r="P25" s="792"/>
      <c r="Q25" s="792"/>
      <c r="R25" s="792"/>
    </row>
    <row r="26" spans="6:18" ht="21.75">
      <c r="F26" s="793"/>
      <c r="G26" s="793"/>
      <c r="H26" s="816" t="s">
        <v>550</v>
      </c>
      <c r="I26" s="816"/>
      <c r="J26" s="816"/>
      <c r="K26" s="816"/>
      <c r="L26" s="816"/>
      <c r="M26" s="816"/>
      <c r="N26" s="816"/>
      <c r="O26" s="816"/>
      <c r="P26" s="816"/>
      <c r="Q26" s="816"/>
      <c r="R26" s="816"/>
    </row>
    <row r="27" spans="6:18" ht="21.75">
      <c r="F27" s="793"/>
      <c r="G27" s="793"/>
      <c r="H27" s="792" t="s">
        <v>551</v>
      </c>
      <c r="I27" s="792"/>
      <c r="J27" s="792"/>
      <c r="K27" s="792"/>
      <c r="L27" s="792"/>
      <c r="M27" s="792"/>
      <c r="N27" s="792"/>
      <c r="O27" s="792"/>
      <c r="P27" s="792"/>
      <c r="Q27" s="792"/>
      <c r="R27" s="792"/>
    </row>
    <row r="28" spans="6:18" ht="21.75">
      <c r="F28" s="793"/>
      <c r="G28" s="793"/>
      <c r="H28" s="792" t="s">
        <v>555</v>
      </c>
      <c r="I28" s="792"/>
      <c r="J28" s="792"/>
      <c r="K28" s="792"/>
      <c r="L28" s="792"/>
      <c r="M28" s="792"/>
      <c r="N28" s="792"/>
      <c r="O28" s="792"/>
      <c r="P28" s="792"/>
      <c r="Q28" s="792"/>
      <c r="R28" s="792"/>
    </row>
    <row r="29" ht="21.75"/>
    <row r="30" ht="21.75"/>
  </sheetData>
  <sheetProtection/>
  <mergeCells count="57">
    <mergeCell ref="B14:M14"/>
    <mergeCell ref="N14:R14"/>
    <mergeCell ref="N16:R16"/>
    <mergeCell ref="N15:R15"/>
    <mergeCell ref="N17:R17"/>
    <mergeCell ref="B20:M20"/>
    <mergeCell ref="B16:M16"/>
    <mergeCell ref="B15:M15"/>
    <mergeCell ref="B17:M17"/>
    <mergeCell ref="F23:G23"/>
    <mergeCell ref="H23:R23"/>
    <mergeCell ref="H28:R28"/>
    <mergeCell ref="F28:G28"/>
    <mergeCell ref="F25:G25"/>
    <mergeCell ref="H25:R25"/>
    <mergeCell ref="F26:G26"/>
    <mergeCell ref="H26:R26"/>
    <mergeCell ref="F24:G24"/>
    <mergeCell ref="H24:R24"/>
    <mergeCell ref="A3:H3"/>
    <mergeCell ref="F27:G27"/>
    <mergeCell ref="H27:R27"/>
    <mergeCell ref="B18:M18"/>
    <mergeCell ref="F22:G22"/>
    <mergeCell ref="H22:R22"/>
    <mergeCell ref="B19:F19"/>
    <mergeCell ref="G19:Q19"/>
    <mergeCell ref="H21:R21"/>
    <mergeCell ref="N18:R18"/>
    <mergeCell ref="N6:R6"/>
    <mergeCell ref="N20:R20"/>
    <mergeCell ref="F21:G21"/>
    <mergeCell ref="S3:T3"/>
    <mergeCell ref="B6:M6"/>
    <mergeCell ref="B7:M7"/>
    <mergeCell ref="B8:M8"/>
    <mergeCell ref="T4:T5"/>
    <mergeCell ref="B4:R5"/>
    <mergeCell ref="S4:S5"/>
    <mergeCell ref="B10:M10"/>
    <mergeCell ref="B11:M11"/>
    <mergeCell ref="N13:R13"/>
    <mergeCell ref="N10:R10"/>
    <mergeCell ref="N11:R11"/>
    <mergeCell ref="N12:R12"/>
    <mergeCell ref="B12:M12"/>
    <mergeCell ref="B13:M13"/>
    <mergeCell ref="N7:R7"/>
    <mergeCell ref="N8:R8"/>
    <mergeCell ref="N9:R9"/>
    <mergeCell ref="A1:H1"/>
    <mergeCell ref="I1:T1"/>
    <mergeCell ref="A2:C2"/>
    <mergeCell ref="D2:S2"/>
    <mergeCell ref="I3:R3"/>
    <mergeCell ref="A4:A5"/>
    <mergeCell ref="B9:M9"/>
  </mergeCells>
  <printOptions horizontalCentered="1"/>
  <pageMargins left="0.7874015748031497" right="0.7874015748031497" top="0.5118110236220472" bottom="0.1968503937007874" header="0.5118110236220472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6"/>
  <sheetViews>
    <sheetView showGridLines="0" zoomScalePageLayoutView="0" workbookViewId="0" topLeftCell="A1">
      <selection activeCell="A1" sqref="A1:B1"/>
    </sheetView>
  </sheetViews>
  <sheetFormatPr defaultColWidth="0" defaultRowHeight="21.75" zeroHeight="1"/>
  <cols>
    <col min="1" max="1" width="7.28125" style="5" customWidth="1"/>
    <col min="2" max="2" width="55.7109375" style="23" customWidth="1"/>
    <col min="3" max="3" width="8.7109375" style="5" customWidth="1"/>
    <col min="4" max="4" width="6.7109375" style="5" customWidth="1"/>
    <col min="5" max="8" width="12.7109375" style="5" customWidth="1"/>
    <col min="9" max="9" width="13.7109375" style="5" customWidth="1"/>
    <col min="10" max="10" width="10.7109375" style="5" customWidth="1"/>
    <col min="11" max="11" width="9.140625" style="5" customWidth="1"/>
    <col min="12" max="16384" width="0" style="5" hidden="1" customWidth="1"/>
  </cols>
  <sheetData>
    <row r="1" spans="1:10" ht="26.25" customHeight="1">
      <c r="A1" s="828" t="s">
        <v>571</v>
      </c>
      <c r="B1" s="828"/>
      <c r="C1" s="829" t="str">
        <f>'ปร.5'!E3</f>
        <v>งานอาคาร</v>
      </c>
      <c r="D1" s="829"/>
      <c r="E1" s="829"/>
      <c r="F1" s="829"/>
      <c r="G1" s="829"/>
      <c r="H1" s="829"/>
      <c r="I1" s="829"/>
      <c r="J1" s="829"/>
    </row>
    <row r="2" spans="1:9" ht="21.75" customHeight="1">
      <c r="A2" s="7"/>
      <c r="B2" s="22"/>
      <c r="C2" s="4"/>
      <c r="D2" s="14"/>
      <c r="E2" s="6"/>
      <c r="F2" s="6"/>
      <c r="G2" s="6"/>
      <c r="H2" s="4"/>
      <c r="I2" s="14"/>
    </row>
    <row r="3" spans="1:10" ht="21.75" customHeight="1">
      <c r="A3" s="831" t="s">
        <v>570</v>
      </c>
      <c r="B3" s="831"/>
      <c r="C3" s="831"/>
      <c r="D3" s="831"/>
      <c r="E3" s="831"/>
      <c r="F3" s="831"/>
      <c r="G3" s="831"/>
      <c r="H3" s="831"/>
      <c r="I3" s="831"/>
      <c r="J3" s="831"/>
    </row>
    <row r="4" spans="1:10" s="31" customFormat="1" ht="15">
      <c r="A4" s="27"/>
      <c r="B4" s="28"/>
      <c r="C4" s="29"/>
      <c r="D4" s="30"/>
      <c r="E4" s="830"/>
      <c r="F4" s="830"/>
      <c r="G4" s="830"/>
      <c r="H4" s="830"/>
      <c r="I4" s="830"/>
      <c r="J4" s="830"/>
    </row>
    <row r="5" spans="1:10" ht="21.75" customHeight="1">
      <c r="A5" s="822" t="s">
        <v>496</v>
      </c>
      <c r="B5" s="824" t="s">
        <v>497</v>
      </c>
      <c r="C5" s="822" t="s">
        <v>498</v>
      </c>
      <c r="D5" s="822" t="s">
        <v>499</v>
      </c>
      <c r="E5" s="827" t="s">
        <v>572</v>
      </c>
      <c r="F5" s="827"/>
      <c r="G5" s="827" t="s">
        <v>505</v>
      </c>
      <c r="H5" s="827"/>
      <c r="I5" s="826" t="s">
        <v>506</v>
      </c>
      <c r="J5" s="822" t="s">
        <v>502</v>
      </c>
    </row>
    <row r="6" spans="1:10" ht="21.75" customHeight="1">
      <c r="A6" s="823"/>
      <c r="B6" s="825"/>
      <c r="C6" s="823"/>
      <c r="D6" s="823"/>
      <c r="E6" s="15" t="s">
        <v>500</v>
      </c>
      <c r="F6" s="15" t="s">
        <v>501</v>
      </c>
      <c r="G6" s="15" t="s">
        <v>500</v>
      </c>
      <c r="H6" s="15" t="s">
        <v>501</v>
      </c>
      <c r="I6" s="823"/>
      <c r="J6" s="823"/>
    </row>
    <row r="7" ht="21.75"/>
    <row r="8" ht="21.75"/>
    <row r="9" ht="21.75"/>
    <row r="10" ht="21.75"/>
    <row r="11" ht="21.75" hidden="1"/>
    <row r="12" ht="21.75" hidden="1"/>
    <row r="13" ht="21.75" hidden="1"/>
    <row r="14" ht="21.75" hidden="1"/>
    <row r="15" ht="21.75" hidden="1"/>
    <row r="16" ht="21.75" hidden="1"/>
    <row r="17" ht="21.75" hidden="1"/>
    <row r="18" ht="21.75" hidden="1"/>
    <row r="19" ht="21.75" hidden="1"/>
    <row r="20" ht="21.75" hidden="1"/>
    <row r="21" ht="21.75" hidden="1"/>
    <row r="22" ht="21.75" hidden="1"/>
    <row r="23" ht="21.75" hidden="1"/>
    <row r="24" ht="21.75" hidden="1"/>
    <row r="25" ht="21.75" hidden="1"/>
    <row r="26" ht="21.75" hidden="1"/>
    <row r="27" ht="21.75" hidden="1"/>
    <row r="28" ht="21.75" hidden="1"/>
    <row r="29" ht="21.75" hidden="1"/>
    <row r="30" ht="21.75" hidden="1"/>
    <row r="31" ht="21.75" hidden="1"/>
    <row r="32" ht="21.75" hidden="1"/>
    <row r="33" ht="21.75" hidden="1"/>
    <row r="34" ht="21.75" hidden="1"/>
    <row r="35" ht="21.75" hidden="1"/>
    <row r="36" ht="21.75" hidden="1"/>
    <row r="37" ht="21.75" hidden="1"/>
    <row r="38" ht="21.75" hidden="1"/>
    <row r="39" ht="21.75" hidden="1"/>
    <row r="40" ht="21.75" hidden="1"/>
    <row r="41" ht="21.75" hidden="1"/>
    <row r="42" ht="21.75" hidden="1"/>
    <row r="43" ht="21.75" hidden="1"/>
    <row r="44" ht="21.75" hidden="1"/>
  </sheetData>
  <sheetProtection formatCells="0" insertHyperlinks="0"/>
  <mergeCells count="14">
    <mergeCell ref="A1:B1"/>
    <mergeCell ref="C1:J1"/>
    <mergeCell ref="E4:F4"/>
    <mergeCell ref="G4:H4"/>
    <mergeCell ref="I4:J4"/>
    <mergeCell ref="A3:J3"/>
    <mergeCell ref="J5:J6"/>
    <mergeCell ref="A5:A6"/>
    <mergeCell ref="B5:B6"/>
    <mergeCell ref="I5:I6"/>
    <mergeCell ref="D5:D6"/>
    <mergeCell ref="C5:C6"/>
    <mergeCell ref="E5:F5"/>
    <mergeCell ref="G5:H5"/>
  </mergeCells>
  <printOptions horizontalCentered="1"/>
  <pageMargins left="0.2362204724409449" right="0.2362204724409449" top="0.7086614173228347" bottom="0.31496062992125984" header="0.7086614173228347" footer="0.15748031496062992"/>
  <pageSetup horizontalDpi="300" verticalDpi="300" orientation="landscape" paperSize="9" r:id="rId1"/>
  <headerFooter alignWithMargins="0">
    <oddHeader>&amp;Rแบบ ปร.4</oddHeader>
    <oddFooter>&amp;C&amp;F&amp;R&amp;11แผ่นที่ 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S1242"/>
  <sheetViews>
    <sheetView showGridLines="0" zoomScaleSheetLayoutView="100" zoomScalePageLayoutView="0" workbookViewId="0" topLeftCell="A1">
      <selection activeCell="A1" sqref="A1:B1"/>
    </sheetView>
  </sheetViews>
  <sheetFormatPr defaultColWidth="0" defaultRowHeight="21" customHeight="1" zeroHeight="1"/>
  <cols>
    <col min="1" max="1" width="1.57421875" style="58" customWidth="1"/>
    <col min="2" max="2" width="10.140625" style="58" customWidth="1"/>
    <col min="3" max="3" width="18.28125" style="58" customWidth="1"/>
    <col min="4" max="4" width="13.57421875" style="58" customWidth="1"/>
    <col min="5" max="5" width="15.28125" style="58" customWidth="1"/>
    <col min="6" max="6" width="2.00390625" style="58" customWidth="1"/>
    <col min="7" max="7" width="22.140625" style="58" customWidth="1"/>
    <col min="8" max="8" width="1.57421875" style="58" customWidth="1"/>
    <col min="9" max="9" width="2.8515625" style="58" customWidth="1"/>
    <col min="10" max="10" width="6.57421875" style="58" customWidth="1"/>
    <col min="11" max="12" width="2.421875" style="58" customWidth="1"/>
    <col min="13" max="13" width="13.57421875" style="58" customWidth="1"/>
    <col min="14" max="14" width="7.7109375" style="58" customWidth="1"/>
    <col min="15" max="15" width="2.421875" style="58" customWidth="1"/>
    <col min="16" max="16" width="1.57421875" style="58" customWidth="1"/>
    <col min="17" max="17" width="9.28125" style="58" customWidth="1"/>
    <col min="18" max="18" width="9.140625" style="58" customWidth="1"/>
    <col min="19" max="19" width="5.00390625" style="334" customWidth="1"/>
    <col min="20" max="20" width="9.140625" style="58" customWidth="1"/>
    <col min="21" max="16384" width="0" style="58" hidden="1" customWidth="1"/>
  </cols>
  <sheetData>
    <row r="1" spans="1:19" s="160" customFormat="1" ht="22.5" customHeight="1">
      <c r="A1" s="157"/>
      <c r="B1" s="158" t="s">
        <v>774</v>
      </c>
      <c r="C1" s="158" t="s">
        <v>775</v>
      </c>
      <c r="D1" s="159"/>
      <c r="E1" s="159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832" t="s">
        <v>776</v>
      </c>
    </row>
    <row r="2" spans="1:19" ht="21" customHeight="1">
      <c r="A2" s="157"/>
      <c r="B2" s="161" t="s">
        <v>692</v>
      </c>
      <c r="C2" s="162" t="s">
        <v>777</v>
      </c>
      <c r="D2" s="163"/>
      <c r="E2" s="163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832"/>
    </row>
    <row r="3" spans="1:19" ht="21" customHeight="1">
      <c r="A3" s="157"/>
      <c r="B3" s="157"/>
      <c r="C3" s="164" t="s">
        <v>462</v>
      </c>
      <c r="D3" s="157"/>
      <c r="E3" s="157"/>
      <c r="F3" s="157"/>
      <c r="G3" s="165" t="s">
        <v>778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832"/>
    </row>
    <row r="4" spans="1:19" ht="21" customHeight="1">
      <c r="A4" s="157"/>
      <c r="B4" s="157"/>
      <c r="C4" s="164" t="s">
        <v>779</v>
      </c>
      <c r="D4" s="166">
        <v>1</v>
      </c>
      <c r="E4" s="164" t="s">
        <v>780</v>
      </c>
      <c r="F4" s="157"/>
      <c r="G4" s="157" t="s">
        <v>562</v>
      </c>
      <c r="H4" s="157"/>
      <c r="I4" s="157" t="s">
        <v>562</v>
      </c>
      <c r="J4" s="157" t="s">
        <v>562</v>
      </c>
      <c r="K4" s="157"/>
      <c r="L4" s="157" t="s">
        <v>562</v>
      </c>
      <c r="M4" s="157" t="str">
        <f>G4</f>
        <v> </v>
      </c>
      <c r="N4" s="157"/>
      <c r="O4" s="157"/>
      <c r="P4" s="157"/>
      <c r="Q4" s="157"/>
      <c r="R4" s="157"/>
      <c r="S4" s="832"/>
    </row>
    <row r="5" spans="1:19" ht="21" customHeight="1">
      <c r="A5" s="157"/>
      <c r="B5" s="157"/>
      <c r="C5" s="165" t="s">
        <v>781</v>
      </c>
      <c r="D5" s="166">
        <v>5</v>
      </c>
      <c r="E5" s="167" t="s">
        <v>782</v>
      </c>
      <c r="F5" s="157"/>
      <c r="G5" s="168">
        <f>D5</f>
        <v>5</v>
      </c>
      <c r="H5" s="157"/>
      <c r="I5" s="157" t="s">
        <v>783</v>
      </c>
      <c r="J5" s="157">
        <v>100</v>
      </c>
      <c r="K5" s="157"/>
      <c r="L5" s="157" t="s">
        <v>784</v>
      </c>
      <c r="M5" s="157">
        <f>G5/100</f>
        <v>0.05</v>
      </c>
      <c r="N5" s="157"/>
      <c r="O5" s="157"/>
      <c r="P5" s="157"/>
      <c r="Q5" s="157"/>
      <c r="R5" s="157"/>
      <c r="S5" s="832"/>
    </row>
    <row r="6" spans="1:19" ht="21" customHeight="1">
      <c r="A6" s="157"/>
      <c r="B6" s="157"/>
      <c r="C6" s="164" t="s">
        <v>785</v>
      </c>
      <c r="D6" s="169">
        <v>2.5</v>
      </c>
      <c r="E6" s="167" t="s">
        <v>786</v>
      </c>
      <c r="F6" s="157"/>
      <c r="G6" s="170">
        <f>D6</f>
        <v>2.5</v>
      </c>
      <c r="H6" s="157"/>
      <c r="I6" s="157" t="s">
        <v>783</v>
      </c>
      <c r="J6" s="157">
        <v>12</v>
      </c>
      <c r="K6" s="157"/>
      <c r="L6" s="157" t="s">
        <v>784</v>
      </c>
      <c r="M6" s="171">
        <f>G6/12</f>
        <v>0.20833333333333334</v>
      </c>
      <c r="N6" s="157"/>
      <c r="O6" s="157"/>
      <c r="P6" s="157"/>
      <c r="Q6" s="157"/>
      <c r="R6" s="157"/>
      <c r="S6" s="832"/>
    </row>
    <row r="7" spans="1:19" ht="21" customHeight="1">
      <c r="A7" s="157"/>
      <c r="B7" s="157"/>
      <c r="C7" s="164" t="s">
        <v>562</v>
      </c>
      <c r="D7" s="157"/>
      <c r="E7" s="164" t="s">
        <v>562</v>
      </c>
      <c r="F7" s="157"/>
      <c r="G7" s="172">
        <f>D4</f>
        <v>1</v>
      </c>
      <c r="H7" s="157"/>
      <c r="I7" s="165" t="s">
        <v>787</v>
      </c>
      <c r="J7" s="157">
        <f>M5</f>
        <v>0.05</v>
      </c>
      <c r="K7" s="157"/>
      <c r="L7" s="165" t="s">
        <v>787</v>
      </c>
      <c r="M7" s="171">
        <f>M6</f>
        <v>0.20833333333333334</v>
      </c>
      <c r="N7" s="157"/>
      <c r="O7" s="157" t="s">
        <v>784</v>
      </c>
      <c r="P7" s="157"/>
      <c r="Q7" s="173">
        <f>(G7*J7*M7)</f>
        <v>0.010416666666666668</v>
      </c>
      <c r="R7" s="157"/>
      <c r="S7" s="832"/>
    </row>
    <row r="8" spans="1:19" ht="21" customHeight="1">
      <c r="A8" s="157"/>
      <c r="B8" s="157" t="s">
        <v>562</v>
      </c>
      <c r="C8" s="165" t="s">
        <v>463</v>
      </c>
      <c r="D8" s="157"/>
      <c r="E8" s="174" t="s">
        <v>679</v>
      </c>
      <c r="F8" s="157"/>
      <c r="G8" s="836" t="s">
        <v>778</v>
      </c>
      <c r="H8" s="836"/>
      <c r="I8" s="836"/>
      <c r="J8" s="836"/>
      <c r="K8" s="836"/>
      <c r="L8" s="836"/>
      <c r="M8" s="836"/>
      <c r="N8" s="836"/>
      <c r="O8" s="836"/>
      <c r="P8" s="836"/>
      <c r="Q8" s="836"/>
      <c r="R8" s="836"/>
      <c r="S8" s="832"/>
    </row>
    <row r="9" spans="1:19" ht="21" customHeight="1">
      <c r="A9" s="157"/>
      <c r="B9" s="175" t="s">
        <v>788</v>
      </c>
      <c r="C9" s="176">
        <v>500000</v>
      </c>
      <c r="D9" s="157"/>
      <c r="E9" s="166">
        <v>6</v>
      </c>
      <c r="F9" s="157"/>
      <c r="G9" s="177" t="s">
        <v>681</v>
      </c>
      <c r="H9" s="157" t="s">
        <v>789</v>
      </c>
      <c r="I9" s="157"/>
      <c r="J9" s="168">
        <f aca="true" t="shared" si="0" ref="J9:J26">E9</f>
        <v>6</v>
      </c>
      <c r="K9" s="157"/>
      <c r="L9" s="165" t="s">
        <v>787</v>
      </c>
      <c r="M9" s="178">
        <f>Q7</f>
        <v>0.010416666666666668</v>
      </c>
      <c r="N9" s="157"/>
      <c r="O9" s="157" t="s">
        <v>784</v>
      </c>
      <c r="P9" s="157"/>
      <c r="Q9" s="179">
        <f aca="true" t="shared" si="1" ref="Q9:Q26">ROUND(E9*M9,4)</f>
        <v>0.0625</v>
      </c>
      <c r="R9" s="157"/>
      <c r="S9" s="832"/>
    </row>
    <row r="10" spans="1:19" ht="21" customHeight="1">
      <c r="A10" s="157"/>
      <c r="B10" s="157"/>
      <c r="C10" s="176">
        <v>1000000</v>
      </c>
      <c r="D10" s="157"/>
      <c r="E10" s="166">
        <v>6</v>
      </c>
      <c r="F10" s="157"/>
      <c r="G10" s="177" t="s">
        <v>681</v>
      </c>
      <c r="H10" s="157" t="s">
        <v>789</v>
      </c>
      <c r="I10" s="157"/>
      <c r="J10" s="168">
        <f t="shared" si="0"/>
        <v>6</v>
      </c>
      <c r="K10" s="157"/>
      <c r="L10" s="165" t="s">
        <v>787</v>
      </c>
      <c r="M10" s="178">
        <f>Q7</f>
        <v>0.010416666666666668</v>
      </c>
      <c r="N10" s="157"/>
      <c r="O10" s="157" t="s">
        <v>784</v>
      </c>
      <c r="P10" s="157"/>
      <c r="Q10" s="179">
        <f t="shared" si="1"/>
        <v>0.0625</v>
      </c>
      <c r="R10" s="157"/>
      <c r="S10" s="832"/>
    </row>
    <row r="11" spans="1:19" ht="21" customHeight="1">
      <c r="A11" s="157"/>
      <c r="B11" s="157"/>
      <c r="C11" s="176">
        <v>2000000</v>
      </c>
      <c r="D11" s="157"/>
      <c r="E11" s="166">
        <v>9</v>
      </c>
      <c r="F11" s="157"/>
      <c r="G11" s="177" t="s">
        <v>681</v>
      </c>
      <c r="H11" s="157" t="s">
        <v>789</v>
      </c>
      <c r="I11" s="157"/>
      <c r="J11" s="168">
        <f t="shared" si="0"/>
        <v>9</v>
      </c>
      <c r="K11" s="157"/>
      <c r="L11" s="165" t="s">
        <v>787</v>
      </c>
      <c r="M11" s="178">
        <f>Q7</f>
        <v>0.010416666666666668</v>
      </c>
      <c r="N11" s="157"/>
      <c r="O11" s="157" t="s">
        <v>784</v>
      </c>
      <c r="P11" s="157"/>
      <c r="Q11" s="179">
        <f t="shared" si="1"/>
        <v>0.0938</v>
      </c>
      <c r="R11" s="157"/>
      <c r="S11" s="832"/>
    </row>
    <row r="12" spans="1:19" ht="21" customHeight="1">
      <c r="A12" s="157"/>
      <c r="B12" s="157"/>
      <c r="C12" s="176">
        <v>5000000</v>
      </c>
      <c r="D12" s="157"/>
      <c r="E12" s="166">
        <v>12</v>
      </c>
      <c r="F12" s="157"/>
      <c r="G12" s="177" t="s">
        <v>681</v>
      </c>
      <c r="H12" s="157" t="s">
        <v>789</v>
      </c>
      <c r="I12" s="157"/>
      <c r="J12" s="168">
        <f t="shared" si="0"/>
        <v>12</v>
      </c>
      <c r="K12" s="157"/>
      <c r="L12" s="165" t="s">
        <v>787</v>
      </c>
      <c r="M12" s="178">
        <f>Q7</f>
        <v>0.010416666666666668</v>
      </c>
      <c r="N12" s="157"/>
      <c r="O12" s="157" t="s">
        <v>784</v>
      </c>
      <c r="P12" s="157"/>
      <c r="Q12" s="179">
        <f t="shared" si="1"/>
        <v>0.125</v>
      </c>
      <c r="R12" s="157"/>
      <c r="S12" s="832"/>
    </row>
    <row r="13" spans="1:19" ht="21" customHeight="1">
      <c r="A13" s="157"/>
      <c r="B13" s="157"/>
      <c r="C13" s="176">
        <v>10000000</v>
      </c>
      <c r="D13" s="157"/>
      <c r="E13" s="166">
        <v>15</v>
      </c>
      <c r="F13" s="157"/>
      <c r="G13" s="177" t="s">
        <v>681</v>
      </c>
      <c r="H13" s="157" t="s">
        <v>789</v>
      </c>
      <c r="I13" s="157"/>
      <c r="J13" s="168">
        <f t="shared" si="0"/>
        <v>15</v>
      </c>
      <c r="K13" s="157"/>
      <c r="L13" s="165" t="s">
        <v>787</v>
      </c>
      <c r="M13" s="178">
        <f>Q7</f>
        <v>0.010416666666666668</v>
      </c>
      <c r="N13" s="157"/>
      <c r="O13" s="157" t="s">
        <v>784</v>
      </c>
      <c r="P13" s="157"/>
      <c r="Q13" s="179">
        <f t="shared" si="1"/>
        <v>0.1563</v>
      </c>
      <c r="R13" s="157"/>
      <c r="S13" s="832"/>
    </row>
    <row r="14" spans="1:19" ht="21" customHeight="1">
      <c r="A14" s="157"/>
      <c r="B14" s="157"/>
      <c r="C14" s="176">
        <v>15000000</v>
      </c>
      <c r="D14" s="157"/>
      <c r="E14" s="166">
        <v>15</v>
      </c>
      <c r="F14" s="157"/>
      <c r="G14" s="177" t="s">
        <v>681</v>
      </c>
      <c r="H14" s="157" t="s">
        <v>789</v>
      </c>
      <c r="I14" s="157"/>
      <c r="J14" s="168">
        <f t="shared" si="0"/>
        <v>15</v>
      </c>
      <c r="K14" s="157"/>
      <c r="L14" s="165" t="s">
        <v>787</v>
      </c>
      <c r="M14" s="178">
        <f>Q7</f>
        <v>0.010416666666666668</v>
      </c>
      <c r="N14" s="157"/>
      <c r="O14" s="157" t="s">
        <v>784</v>
      </c>
      <c r="P14" s="157"/>
      <c r="Q14" s="179">
        <f t="shared" si="1"/>
        <v>0.1563</v>
      </c>
      <c r="R14" s="157"/>
      <c r="S14" s="832"/>
    </row>
    <row r="15" spans="1:19" ht="21" customHeight="1">
      <c r="A15" s="157"/>
      <c r="B15" s="157"/>
      <c r="C15" s="176">
        <v>20000000</v>
      </c>
      <c r="D15" s="157"/>
      <c r="E15" s="166">
        <v>16</v>
      </c>
      <c r="F15" s="157"/>
      <c r="G15" s="177" t="s">
        <v>681</v>
      </c>
      <c r="H15" s="157" t="s">
        <v>789</v>
      </c>
      <c r="I15" s="157"/>
      <c r="J15" s="168">
        <f t="shared" si="0"/>
        <v>16</v>
      </c>
      <c r="K15" s="157"/>
      <c r="L15" s="165" t="s">
        <v>787</v>
      </c>
      <c r="M15" s="178">
        <f>Q7</f>
        <v>0.010416666666666668</v>
      </c>
      <c r="N15" s="157"/>
      <c r="O15" s="157" t="s">
        <v>784</v>
      </c>
      <c r="P15" s="157"/>
      <c r="Q15" s="179">
        <f t="shared" si="1"/>
        <v>0.1667</v>
      </c>
      <c r="R15" s="157"/>
      <c r="S15" s="832"/>
    </row>
    <row r="16" spans="1:19" ht="21" customHeight="1">
      <c r="A16" s="157"/>
      <c r="B16" s="157"/>
      <c r="C16" s="176">
        <v>25000000</v>
      </c>
      <c r="D16" s="157"/>
      <c r="E16" s="166">
        <v>16</v>
      </c>
      <c r="F16" s="157"/>
      <c r="G16" s="177" t="s">
        <v>681</v>
      </c>
      <c r="H16" s="157" t="s">
        <v>789</v>
      </c>
      <c r="I16" s="157"/>
      <c r="J16" s="168">
        <f t="shared" si="0"/>
        <v>16</v>
      </c>
      <c r="K16" s="157"/>
      <c r="L16" s="165" t="s">
        <v>787</v>
      </c>
      <c r="M16" s="178">
        <f>Q7</f>
        <v>0.010416666666666668</v>
      </c>
      <c r="N16" s="157"/>
      <c r="O16" s="157" t="s">
        <v>784</v>
      </c>
      <c r="P16" s="157"/>
      <c r="Q16" s="179">
        <f t="shared" si="1"/>
        <v>0.1667</v>
      </c>
      <c r="R16" s="157"/>
      <c r="S16" s="832"/>
    </row>
    <row r="17" spans="1:19" ht="21" customHeight="1">
      <c r="A17" s="157"/>
      <c r="B17" s="157"/>
      <c r="C17" s="176">
        <v>30000000</v>
      </c>
      <c r="D17" s="157"/>
      <c r="E17" s="166">
        <v>17</v>
      </c>
      <c r="F17" s="157"/>
      <c r="G17" s="177" t="s">
        <v>681</v>
      </c>
      <c r="H17" s="157" t="s">
        <v>789</v>
      </c>
      <c r="I17" s="157"/>
      <c r="J17" s="168">
        <f t="shared" si="0"/>
        <v>17</v>
      </c>
      <c r="K17" s="157"/>
      <c r="L17" s="165" t="s">
        <v>787</v>
      </c>
      <c r="M17" s="178">
        <f>Q7</f>
        <v>0.010416666666666668</v>
      </c>
      <c r="N17" s="157"/>
      <c r="O17" s="157" t="s">
        <v>784</v>
      </c>
      <c r="P17" s="157"/>
      <c r="Q17" s="179">
        <f t="shared" si="1"/>
        <v>0.1771</v>
      </c>
      <c r="R17" s="157"/>
      <c r="S17" s="832"/>
    </row>
    <row r="18" spans="1:19" ht="21" customHeight="1">
      <c r="A18" s="157"/>
      <c r="B18" s="157"/>
      <c r="C18" s="176">
        <v>40000000</v>
      </c>
      <c r="D18" s="157"/>
      <c r="E18" s="166">
        <v>17</v>
      </c>
      <c r="F18" s="157"/>
      <c r="G18" s="177" t="s">
        <v>681</v>
      </c>
      <c r="H18" s="157" t="s">
        <v>789</v>
      </c>
      <c r="I18" s="157"/>
      <c r="J18" s="168">
        <f t="shared" si="0"/>
        <v>17</v>
      </c>
      <c r="K18" s="157"/>
      <c r="L18" s="165" t="s">
        <v>787</v>
      </c>
      <c r="M18" s="178">
        <f>Q7</f>
        <v>0.010416666666666668</v>
      </c>
      <c r="N18" s="157"/>
      <c r="O18" s="157" t="s">
        <v>784</v>
      </c>
      <c r="P18" s="157"/>
      <c r="Q18" s="179">
        <f t="shared" si="1"/>
        <v>0.1771</v>
      </c>
      <c r="R18" s="157"/>
      <c r="S18" s="832"/>
    </row>
    <row r="19" spans="1:19" ht="21" customHeight="1">
      <c r="A19" s="157"/>
      <c r="B19" s="157"/>
      <c r="C19" s="176">
        <v>50000000</v>
      </c>
      <c r="D19" s="157"/>
      <c r="E19" s="166">
        <v>18</v>
      </c>
      <c r="F19" s="157"/>
      <c r="G19" s="177" t="s">
        <v>681</v>
      </c>
      <c r="H19" s="157" t="s">
        <v>789</v>
      </c>
      <c r="I19" s="157"/>
      <c r="J19" s="168">
        <f t="shared" si="0"/>
        <v>18</v>
      </c>
      <c r="K19" s="157"/>
      <c r="L19" s="165" t="s">
        <v>787</v>
      </c>
      <c r="M19" s="178">
        <f>Q7</f>
        <v>0.010416666666666668</v>
      </c>
      <c r="N19" s="157"/>
      <c r="O19" s="157" t="s">
        <v>784</v>
      </c>
      <c r="P19" s="157"/>
      <c r="Q19" s="179">
        <f t="shared" si="1"/>
        <v>0.1875</v>
      </c>
      <c r="R19" s="157"/>
      <c r="S19" s="832"/>
    </row>
    <row r="20" spans="1:19" ht="21" customHeight="1">
      <c r="A20" s="157"/>
      <c r="B20" s="157"/>
      <c r="C20" s="176">
        <v>60000000</v>
      </c>
      <c r="D20" s="157"/>
      <c r="E20" s="166">
        <v>18</v>
      </c>
      <c r="F20" s="157"/>
      <c r="G20" s="177" t="s">
        <v>681</v>
      </c>
      <c r="H20" s="157" t="s">
        <v>789</v>
      </c>
      <c r="I20" s="157"/>
      <c r="J20" s="168">
        <f t="shared" si="0"/>
        <v>18</v>
      </c>
      <c r="K20" s="157"/>
      <c r="L20" s="165" t="s">
        <v>787</v>
      </c>
      <c r="M20" s="178">
        <f>Q7</f>
        <v>0.010416666666666668</v>
      </c>
      <c r="N20" s="157"/>
      <c r="O20" s="157" t="s">
        <v>784</v>
      </c>
      <c r="P20" s="157"/>
      <c r="Q20" s="179">
        <f t="shared" si="1"/>
        <v>0.1875</v>
      </c>
      <c r="R20" s="157"/>
      <c r="S20" s="832"/>
    </row>
    <row r="21" spans="1:19" ht="21" customHeight="1">
      <c r="A21" s="157"/>
      <c r="B21" s="157"/>
      <c r="C21" s="176">
        <v>70000000</v>
      </c>
      <c r="D21" s="157"/>
      <c r="E21" s="166">
        <v>20</v>
      </c>
      <c r="F21" s="157"/>
      <c r="G21" s="177" t="s">
        <v>681</v>
      </c>
      <c r="H21" s="157" t="s">
        <v>789</v>
      </c>
      <c r="I21" s="157"/>
      <c r="J21" s="168">
        <f t="shared" si="0"/>
        <v>20</v>
      </c>
      <c r="K21" s="157"/>
      <c r="L21" s="165" t="s">
        <v>787</v>
      </c>
      <c r="M21" s="178">
        <f>Q7</f>
        <v>0.010416666666666668</v>
      </c>
      <c r="N21" s="157"/>
      <c r="O21" s="157" t="s">
        <v>784</v>
      </c>
      <c r="P21" s="157"/>
      <c r="Q21" s="179">
        <f t="shared" si="1"/>
        <v>0.2083</v>
      </c>
      <c r="R21" s="157"/>
      <c r="S21" s="832"/>
    </row>
    <row r="22" spans="1:19" ht="21" customHeight="1">
      <c r="A22" s="157"/>
      <c r="B22" s="157"/>
      <c r="C22" s="176">
        <v>80000000</v>
      </c>
      <c r="D22" s="157"/>
      <c r="E22" s="166">
        <v>20</v>
      </c>
      <c r="F22" s="157"/>
      <c r="G22" s="177" t="s">
        <v>681</v>
      </c>
      <c r="H22" s="157" t="s">
        <v>789</v>
      </c>
      <c r="I22" s="157"/>
      <c r="J22" s="168">
        <f t="shared" si="0"/>
        <v>20</v>
      </c>
      <c r="K22" s="157"/>
      <c r="L22" s="165" t="s">
        <v>787</v>
      </c>
      <c r="M22" s="178">
        <f>Q7</f>
        <v>0.010416666666666668</v>
      </c>
      <c r="N22" s="157"/>
      <c r="O22" s="157" t="s">
        <v>784</v>
      </c>
      <c r="P22" s="157"/>
      <c r="Q22" s="179">
        <f t="shared" si="1"/>
        <v>0.2083</v>
      </c>
      <c r="R22" s="157"/>
      <c r="S22" s="832"/>
    </row>
    <row r="23" spans="1:19" ht="21" customHeight="1">
      <c r="A23" s="157"/>
      <c r="B23" s="157"/>
      <c r="C23" s="176">
        <v>90000000</v>
      </c>
      <c r="D23" s="157"/>
      <c r="E23" s="166">
        <v>20</v>
      </c>
      <c r="F23" s="157"/>
      <c r="G23" s="177" t="s">
        <v>681</v>
      </c>
      <c r="H23" s="157" t="s">
        <v>789</v>
      </c>
      <c r="I23" s="157"/>
      <c r="J23" s="168">
        <f t="shared" si="0"/>
        <v>20</v>
      </c>
      <c r="K23" s="157"/>
      <c r="L23" s="165" t="s">
        <v>787</v>
      </c>
      <c r="M23" s="178">
        <f>Q7</f>
        <v>0.010416666666666668</v>
      </c>
      <c r="N23" s="157"/>
      <c r="O23" s="157" t="s">
        <v>784</v>
      </c>
      <c r="P23" s="157"/>
      <c r="Q23" s="179">
        <f t="shared" si="1"/>
        <v>0.2083</v>
      </c>
      <c r="R23" s="157"/>
      <c r="S23" s="832"/>
    </row>
    <row r="24" spans="1:19" ht="21" customHeight="1">
      <c r="A24" s="157"/>
      <c r="B24" s="157"/>
      <c r="C24" s="176">
        <v>100000000</v>
      </c>
      <c r="D24" s="157"/>
      <c r="E24" s="166">
        <v>20</v>
      </c>
      <c r="F24" s="157"/>
      <c r="G24" s="177" t="s">
        <v>681</v>
      </c>
      <c r="H24" s="157" t="s">
        <v>789</v>
      </c>
      <c r="I24" s="157"/>
      <c r="J24" s="168">
        <f t="shared" si="0"/>
        <v>20</v>
      </c>
      <c r="K24" s="157"/>
      <c r="L24" s="165" t="s">
        <v>787</v>
      </c>
      <c r="M24" s="178">
        <f>Q7</f>
        <v>0.010416666666666668</v>
      </c>
      <c r="N24" s="157"/>
      <c r="O24" s="157" t="s">
        <v>784</v>
      </c>
      <c r="P24" s="157"/>
      <c r="Q24" s="179">
        <f t="shared" si="1"/>
        <v>0.2083</v>
      </c>
      <c r="R24" s="157"/>
      <c r="S24" s="832"/>
    </row>
    <row r="25" spans="1:19" ht="21" customHeight="1">
      <c r="A25" s="157"/>
      <c r="B25" s="157"/>
      <c r="C25" s="176">
        <v>150000000</v>
      </c>
      <c r="D25" s="157"/>
      <c r="E25" s="166">
        <v>22</v>
      </c>
      <c r="F25" s="157"/>
      <c r="G25" s="177" t="s">
        <v>681</v>
      </c>
      <c r="H25" s="157" t="s">
        <v>789</v>
      </c>
      <c r="I25" s="157"/>
      <c r="J25" s="168">
        <f t="shared" si="0"/>
        <v>22</v>
      </c>
      <c r="K25" s="157"/>
      <c r="L25" s="165" t="s">
        <v>787</v>
      </c>
      <c r="M25" s="178">
        <f>Q7</f>
        <v>0.010416666666666668</v>
      </c>
      <c r="N25" s="157"/>
      <c r="O25" s="157" t="s">
        <v>784</v>
      </c>
      <c r="P25" s="157"/>
      <c r="Q25" s="179">
        <f t="shared" si="1"/>
        <v>0.2292</v>
      </c>
      <c r="R25" s="157"/>
      <c r="S25" s="832"/>
    </row>
    <row r="26" spans="1:19" ht="21" customHeight="1">
      <c r="A26" s="157"/>
      <c r="B26" s="157"/>
      <c r="C26" s="176">
        <v>200000000</v>
      </c>
      <c r="D26" s="157"/>
      <c r="E26" s="166">
        <v>24</v>
      </c>
      <c r="F26" s="157"/>
      <c r="G26" s="177" t="s">
        <v>681</v>
      </c>
      <c r="H26" s="157" t="s">
        <v>789</v>
      </c>
      <c r="I26" s="157"/>
      <c r="J26" s="168">
        <f t="shared" si="0"/>
        <v>24</v>
      </c>
      <c r="K26" s="157"/>
      <c r="L26" s="165" t="s">
        <v>787</v>
      </c>
      <c r="M26" s="178">
        <f>Q7</f>
        <v>0.010416666666666668</v>
      </c>
      <c r="N26" s="157"/>
      <c r="O26" s="157" t="s">
        <v>784</v>
      </c>
      <c r="P26" s="157"/>
      <c r="Q26" s="179">
        <f t="shared" si="1"/>
        <v>0.25</v>
      </c>
      <c r="R26" s="157"/>
      <c r="S26" s="832"/>
    </row>
    <row r="27" spans="1:19" ht="21" customHeight="1">
      <c r="A27" s="835" t="s">
        <v>790</v>
      </c>
      <c r="B27" s="835"/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2"/>
    </row>
    <row r="28" spans="1:19" ht="21" customHeight="1">
      <c r="A28" s="157"/>
      <c r="B28" s="157" t="s">
        <v>562</v>
      </c>
      <c r="C28" s="165" t="s">
        <v>463</v>
      </c>
      <c r="D28" s="157"/>
      <c r="E28" s="174" t="s">
        <v>679</v>
      </c>
      <c r="F28" s="157"/>
      <c r="G28" s="836" t="s">
        <v>778</v>
      </c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2" t="s">
        <v>791</v>
      </c>
    </row>
    <row r="29" spans="1:19" ht="21" customHeight="1">
      <c r="A29" s="157"/>
      <c r="B29" s="175" t="s">
        <v>788</v>
      </c>
      <c r="C29" s="176">
        <v>250000000</v>
      </c>
      <c r="D29" s="157"/>
      <c r="E29" s="166">
        <v>28</v>
      </c>
      <c r="F29" s="157"/>
      <c r="G29" s="177" t="s">
        <v>681</v>
      </c>
      <c r="H29" s="157" t="s">
        <v>789</v>
      </c>
      <c r="I29" s="157"/>
      <c r="J29" s="168">
        <f aca="true" t="shared" si="2" ref="J29:J34">E29</f>
        <v>28</v>
      </c>
      <c r="K29" s="157"/>
      <c r="L29" s="165" t="s">
        <v>787</v>
      </c>
      <c r="M29" s="178">
        <f>Q7</f>
        <v>0.010416666666666668</v>
      </c>
      <c r="N29" s="157"/>
      <c r="O29" s="157" t="s">
        <v>784</v>
      </c>
      <c r="P29" s="157"/>
      <c r="Q29" s="179">
        <f aca="true" t="shared" si="3" ref="Q29:Q34">ROUND(E29*M29,4)</f>
        <v>0.2917</v>
      </c>
      <c r="R29" s="157"/>
      <c r="S29" s="832"/>
    </row>
    <row r="30" spans="1:19" ht="21" customHeight="1">
      <c r="A30" s="157"/>
      <c r="B30" s="157"/>
      <c r="C30" s="176">
        <v>300000000</v>
      </c>
      <c r="D30" s="157"/>
      <c r="E30" s="166">
        <v>30</v>
      </c>
      <c r="F30" s="157"/>
      <c r="G30" s="177" t="s">
        <v>681</v>
      </c>
      <c r="H30" s="157" t="s">
        <v>789</v>
      </c>
      <c r="I30" s="157"/>
      <c r="J30" s="168">
        <f t="shared" si="2"/>
        <v>30</v>
      </c>
      <c r="K30" s="157"/>
      <c r="L30" s="165" t="s">
        <v>787</v>
      </c>
      <c r="M30" s="178">
        <f>Q7</f>
        <v>0.010416666666666668</v>
      </c>
      <c r="N30" s="157"/>
      <c r="O30" s="157" t="s">
        <v>784</v>
      </c>
      <c r="P30" s="157"/>
      <c r="Q30" s="179">
        <f t="shared" si="3"/>
        <v>0.3125</v>
      </c>
      <c r="R30" s="157"/>
      <c r="S30" s="832"/>
    </row>
    <row r="31" spans="1:19" ht="21" customHeight="1">
      <c r="A31" s="157"/>
      <c r="B31" s="157"/>
      <c r="C31" s="176">
        <v>350000000</v>
      </c>
      <c r="D31" s="157"/>
      <c r="E31" s="166">
        <v>32</v>
      </c>
      <c r="F31" s="157"/>
      <c r="G31" s="177" t="s">
        <v>681</v>
      </c>
      <c r="H31" s="157" t="s">
        <v>789</v>
      </c>
      <c r="I31" s="157"/>
      <c r="J31" s="168">
        <f t="shared" si="2"/>
        <v>32</v>
      </c>
      <c r="K31" s="157"/>
      <c r="L31" s="165" t="s">
        <v>787</v>
      </c>
      <c r="M31" s="178">
        <f>Q7</f>
        <v>0.010416666666666668</v>
      </c>
      <c r="N31" s="157"/>
      <c r="O31" s="157" t="s">
        <v>784</v>
      </c>
      <c r="P31" s="157"/>
      <c r="Q31" s="179">
        <f t="shared" si="3"/>
        <v>0.3333</v>
      </c>
      <c r="R31" s="157"/>
      <c r="S31" s="832"/>
    </row>
    <row r="32" spans="1:19" ht="21" customHeight="1">
      <c r="A32" s="157"/>
      <c r="B32" s="157"/>
      <c r="C32" s="176">
        <v>400000000</v>
      </c>
      <c r="D32" s="157"/>
      <c r="E32" s="166">
        <v>36</v>
      </c>
      <c r="F32" s="157"/>
      <c r="G32" s="177" t="s">
        <v>681</v>
      </c>
      <c r="H32" s="157" t="s">
        <v>789</v>
      </c>
      <c r="I32" s="157"/>
      <c r="J32" s="168">
        <f t="shared" si="2"/>
        <v>36</v>
      </c>
      <c r="K32" s="157"/>
      <c r="L32" s="165" t="s">
        <v>787</v>
      </c>
      <c r="M32" s="178">
        <f>Q7</f>
        <v>0.010416666666666668</v>
      </c>
      <c r="N32" s="157"/>
      <c r="O32" s="157" t="s">
        <v>784</v>
      </c>
      <c r="P32" s="157"/>
      <c r="Q32" s="179">
        <f t="shared" si="3"/>
        <v>0.375</v>
      </c>
      <c r="R32" s="157"/>
      <c r="S32" s="832"/>
    </row>
    <row r="33" spans="1:19" ht="21" customHeight="1">
      <c r="A33" s="157"/>
      <c r="B33" s="157"/>
      <c r="C33" s="176">
        <v>500000000</v>
      </c>
      <c r="D33" s="157"/>
      <c r="E33" s="166">
        <v>36</v>
      </c>
      <c r="F33" s="157"/>
      <c r="G33" s="177" t="s">
        <v>681</v>
      </c>
      <c r="H33" s="157" t="s">
        <v>789</v>
      </c>
      <c r="I33" s="157"/>
      <c r="J33" s="168">
        <f t="shared" si="2"/>
        <v>36</v>
      </c>
      <c r="K33" s="157"/>
      <c r="L33" s="165" t="s">
        <v>787</v>
      </c>
      <c r="M33" s="178">
        <f>Q7</f>
        <v>0.010416666666666668</v>
      </c>
      <c r="N33" s="157"/>
      <c r="O33" s="157" t="s">
        <v>784</v>
      </c>
      <c r="P33" s="157"/>
      <c r="Q33" s="179">
        <f t="shared" si="3"/>
        <v>0.375</v>
      </c>
      <c r="R33" s="157"/>
      <c r="S33" s="832"/>
    </row>
    <row r="34" spans="1:19" ht="21" customHeight="1">
      <c r="A34" s="157"/>
      <c r="B34" s="157"/>
      <c r="C34" s="176">
        <v>1000000000</v>
      </c>
      <c r="D34" s="157"/>
      <c r="E34" s="166">
        <v>40</v>
      </c>
      <c r="F34" s="157"/>
      <c r="G34" s="177" t="s">
        <v>681</v>
      </c>
      <c r="H34" s="157" t="s">
        <v>789</v>
      </c>
      <c r="I34" s="157"/>
      <c r="J34" s="168">
        <f t="shared" si="2"/>
        <v>40</v>
      </c>
      <c r="K34" s="157"/>
      <c r="L34" s="165" t="s">
        <v>787</v>
      </c>
      <c r="M34" s="178">
        <f>Q7</f>
        <v>0.010416666666666668</v>
      </c>
      <c r="N34" s="157"/>
      <c r="O34" s="157" t="s">
        <v>784</v>
      </c>
      <c r="P34" s="157"/>
      <c r="Q34" s="179">
        <f t="shared" si="3"/>
        <v>0.4167</v>
      </c>
      <c r="R34" s="157"/>
      <c r="S34" s="832"/>
    </row>
    <row r="35" spans="1:19" ht="21" customHeight="1">
      <c r="A35" s="157"/>
      <c r="B35" s="161" t="s">
        <v>694</v>
      </c>
      <c r="C35" s="162" t="s">
        <v>792</v>
      </c>
      <c r="D35" s="163"/>
      <c r="E35" s="163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832"/>
    </row>
    <row r="36" spans="1:19" ht="21" customHeight="1">
      <c r="A36" s="157"/>
      <c r="B36" s="157"/>
      <c r="C36" s="164" t="s">
        <v>462</v>
      </c>
      <c r="D36" s="157"/>
      <c r="E36" s="157"/>
      <c r="F36" s="157"/>
      <c r="G36" s="836" t="s">
        <v>778</v>
      </c>
      <c r="H36" s="836"/>
      <c r="I36" s="836"/>
      <c r="J36" s="836"/>
      <c r="K36" s="836"/>
      <c r="L36" s="836"/>
      <c r="M36" s="836"/>
      <c r="N36" s="836"/>
      <c r="O36" s="836"/>
      <c r="P36" s="836"/>
      <c r="Q36" s="836"/>
      <c r="R36" s="836"/>
      <c r="S36" s="832"/>
    </row>
    <row r="37" spans="1:19" ht="21" customHeight="1">
      <c r="A37" s="157"/>
      <c r="B37" s="157"/>
      <c r="C37" s="164" t="s">
        <v>779</v>
      </c>
      <c r="D37" s="166">
        <v>24</v>
      </c>
      <c r="E37" s="164" t="s">
        <v>793</v>
      </c>
      <c r="F37" s="157"/>
      <c r="G37" s="157" t="s">
        <v>562</v>
      </c>
      <c r="H37" s="157"/>
      <c r="I37" s="157" t="s">
        <v>562</v>
      </c>
      <c r="J37" s="157" t="s">
        <v>562</v>
      </c>
      <c r="K37" s="157"/>
      <c r="L37" s="157" t="s">
        <v>562</v>
      </c>
      <c r="M37" s="157" t="str">
        <f>G37</f>
        <v> </v>
      </c>
      <c r="N37" s="157"/>
      <c r="O37" s="157"/>
      <c r="P37" s="157"/>
      <c r="Q37" s="157"/>
      <c r="R37" s="157"/>
      <c r="S37" s="832"/>
    </row>
    <row r="38" spans="1:19" ht="21" customHeight="1">
      <c r="A38" s="157"/>
      <c r="B38" s="157"/>
      <c r="C38" s="164" t="s">
        <v>794</v>
      </c>
      <c r="D38" s="166">
        <v>5</v>
      </c>
      <c r="E38" s="164" t="s">
        <v>795</v>
      </c>
      <c r="F38" s="157"/>
      <c r="G38" s="168">
        <f>D38</f>
        <v>5</v>
      </c>
      <c r="H38" s="157"/>
      <c r="I38" s="157" t="s">
        <v>783</v>
      </c>
      <c r="J38" s="157">
        <v>100</v>
      </c>
      <c r="K38" s="157"/>
      <c r="L38" s="157" t="s">
        <v>784</v>
      </c>
      <c r="M38" s="157">
        <f>G38/100</f>
        <v>0.05</v>
      </c>
      <c r="N38" s="157"/>
      <c r="O38" s="157"/>
      <c r="P38" s="157"/>
      <c r="Q38" s="157"/>
      <c r="R38" s="157"/>
      <c r="S38" s="832"/>
    </row>
    <row r="39" spans="1:19" ht="21" customHeight="1">
      <c r="A39" s="157"/>
      <c r="B39" s="157"/>
      <c r="C39" s="164" t="s">
        <v>785</v>
      </c>
      <c r="D39" s="169">
        <v>2.5</v>
      </c>
      <c r="E39" s="164" t="s">
        <v>796</v>
      </c>
      <c r="F39" s="157"/>
      <c r="G39" s="170">
        <f>D39</f>
        <v>2.5</v>
      </c>
      <c r="H39" s="157"/>
      <c r="I39" s="157" t="s">
        <v>783</v>
      </c>
      <c r="J39" s="157">
        <v>12</v>
      </c>
      <c r="K39" s="157"/>
      <c r="L39" s="157" t="s">
        <v>784</v>
      </c>
      <c r="M39" s="171">
        <f>ROUND(G39/12,4)</f>
        <v>0.2083</v>
      </c>
      <c r="N39" s="157"/>
      <c r="O39" s="157"/>
      <c r="P39" s="157"/>
      <c r="Q39" s="157"/>
      <c r="R39" s="157"/>
      <c r="S39" s="832"/>
    </row>
    <row r="40" spans="1:19" ht="21" customHeight="1">
      <c r="A40" s="157"/>
      <c r="B40" s="157"/>
      <c r="C40" s="164" t="s">
        <v>562</v>
      </c>
      <c r="D40" s="157"/>
      <c r="E40" s="164" t="s">
        <v>562</v>
      </c>
      <c r="F40" s="157"/>
      <c r="G40" s="172">
        <f>D37</f>
        <v>24</v>
      </c>
      <c r="H40" s="157"/>
      <c r="I40" s="165" t="s">
        <v>787</v>
      </c>
      <c r="J40" s="157">
        <f>M38</f>
        <v>0.05</v>
      </c>
      <c r="K40" s="157"/>
      <c r="L40" s="165" t="s">
        <v>787</v>
      </c>
      <c r="M40" s="171">
        <f>M39</f>
        <v>0.2083</v>
      </c>
      <c r="N40" s="157"/>
      <c r="O40" s="157" t="s">
        <v>784</v>
      </c>
      <c r="P40" s="157"/>
      <c r="Q40" s="173">
        <f>ROUND(G40*J40*M40,4)</f>
        <v>0.25</v>
      </c>
      <c r="R40" s="157"/>
      <c r="S40" s="832"/>
    </row>
    <row r="41" spans="1:19" ht="21" customHeight="1">
      <c r="A41" s="157"/>
      <c r="B41" s="157"/>
      <c r="C41" s="157" t="s">
        <v>797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 t="s">
        <v>784</v>
      </c>
      <c r="P41" s="157"/>
      <c r="Q41" s="171">
        <f>Q40</f>
        <v>0.25</v>
      </c>
      <c r="R41" s="157"/>
      <c r="S41" s="832"/>
    </row>
    <row r="42" spans="1:19" ht="21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71"/>
      <c r="R42" s="157"/>
      <c r="S42" s="832"/>
    </row>
    <row r="43" spans="1:19" ht="21" customHeight="1">
      <c r="A43" s="165"/>
      <c r="B43" s="161" t="s">
        <v>696</v>
      </c>
      <c r="C43" s="162" t="s">
        <v>798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832"/>
    </row>
    <row r="44" spans="1:19" ht="21" customHeight="1">
      <c r="A44" s="165"/>
      <c r="B44" s="165"/>
      <c r="C44" s="164" t="s">
        <v>799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 t="s">
        <v>789</v>
      </c>
      <c r="P44" s="165"/>
      <c r="Q44" s="181">
        <v>0.1</v>
      </c>
      <c r="R44" s="165"/>
      <c r="S44" s="832"/>
    </row>
    <row r="45" spans="1:19" ht="21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832"/>
    </row>
    <row r="46" spans="1:19" ht="21" customHeight="1">
      <c r="A46" s="165"/>
      <c r="B46" s="182" t="s">
        <v>698</v>
      </c>
      <c r="C46" s="183" t="s">
        <v>800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5"/>
      <c r="S46" s="832"/>
    </row>
    <row r="47" spans="1:19" ht="21" customHeight="1">
      <c r="A47" s="165"/>
      <c r="B47" s="184" t="s">
        <v>801</v>
      </c>
      <c r="C47" s="186" t="s">
        <v>802</v>
      </c>
      <c r="D47" s="184"/>
      <c r="E47" s="187">
        <v>0.51</v>
      </c>
      <c r="F47" s="186" t="s">
        <v>678</v>
      </c>
      <c r="G47" s="186" t="s">
        <v>803</v>
      </c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5"/>
      <c r="S47" s="832"/>
    </row>
    <row r="48" spans="1:19" ht="21" customHeight="1">
      <c r="A48" s="165"/>
      <c r="B48" s="184"/>
      <c r="C48" s="186" t="s">
        <v>804</v>
      </c>
      <c r="D48" s="184"/>
      <c r="E48" s="188">
        <v>30</v>
      </c>
      <c r="F48" s="186" t="s">
        <v>678</v>
      </c>
      <c r="G48" s="186" t="s">
        <v>805</v>
      </c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5"/>
      <c r="S48" s="832"/>
    </row>
    <row r="49" spans="1:19" ht="21" customHeight="1">
      <c r="A49" s="165"/>
      <c r="B49" s="184"/>
      <c r="C49" s="186" t="s">
        <v>806</v>
      </c>
      <c r="D49" s="184"/>
      <c r="E49" s="187">
        <f>E47</f>
        <v>0.51</v>
      </c>
      <c r="F49" s="184" t="s">
        <v>787</v>
      </c>
      <c r="G49" s="184">
        <f>E48</f>
        <v>30</v>
      </c>
      <c r="H49" s="184" t="s">
        <v>783</v>
      </c>
      <c r="I49" s="184"/>
      <c r="J49" s="184">
        <v>100</v>
      </c>
      <c r="K49" s="184"/>
      <c r="L49" s="184"/>
      <c r="M49" s="184"/>
      <c r="N49" s="184"/>
      <c r="O49" s="184" t="s">
        <v>789</v>
      </c>
      <c r="P49" s="184"/>
      <c r="Q49" s="189">
        <f>ROUND(E49*G49/J49,4)</f>
        <v>0.153</v>
      </c>
      <c r="R49" s="185"/>
      <c r="S49" s="832"/>
    </row>
    <row r="50" spans="1:19" ht="21" customHeight="1">
      <c r="A50" s="165"/>
      <c r="B50" s="184" t="s">
        <v>807</v>
      </c>
      <c r="C50" s="186" t="s">
        <v>808</v>
      </c>
      <c r="D50" s="184"/>
      <c r="E50" s="187">
        <v>0.35</v>
      </c>
      <c r="F50" s="186" t="s">
        <v>678</v>
      </c>
      <c r="G50" s="186" t="s">
        <v>803</v>
      </c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5"/>
      <c r="S50" s="832"/>
    </row>
    <row r="51" spans="1:19" ht="21" customHeight="1">
      <c r="A51" s="165"/>
      <c r="B51" s="184"/>
      <c r="C51" s="186" t="s">
        <v>804</v>
      </c>
      <c r="D51" s="184"/>
      <c r="E51" s="188">
        <v>30</v>
      </c>
      <c r="F51" s="186" t="s">
        <v>678</v>
      </c>
      <c r="G51" s="186" t="s">
        <v>805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5"/>
      <c r="S51" s="832"/>
    </row>
    <row r="52" spans="1:19" ht="21" customHeight="1">
      <c r="A52" s="165"/>
      <c r="B52" s="184"/>
      <c r="C52" s="186" t="s">
        <v>806</v>
      </c>
      <c r="D52" s="184"/>
      <c r="E52" s="187">
        <v>0.35</v>
      </c>
      <c r="F52" s="184" t="s">
        <v>787</v>
      </c>
      <c r="G52" s="184">
        <f>E51</f>
        <v>30</v>
      </c>
      <c r="H52" s="184" t="s">
        <v>783</v>
      </c>
      <c r="I52" s="184"/>
      <c r="J52" s="184">
        <v>100</v>
      </c>
      <c r="K52" s="184"/>
      <c r="L52" s="184"/>
      <c r="M52" s="184"/>
      <c r="N52" s="184"/>
      <c r="O52" s="184" t="s">
        <v>789</v>
      </c>
      <c r="P52" s="184"/>
      <c r="Q52" s="189">
        <f>ROUND(E52*G52/J52,4)</f>
        <v>0.105</v>
      </c>
      <c r="R52" s="185"/>
      <c r="S52" s="832"/>
    </row>
    <row r="53" spans="1:19" ht="21" customHeight="1">
      <c r="A53" s="165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2" t="s">
        <v>561</v>
      </c>
      <c r="O53" s="182" t="s">
        <v>789</v>
      </c>
      <c r="P53" s="182"/>
      <c r="Q53" s="190">
        <f>ROUND(Q49+Q52,4)</f>
        <v>0.258</v>
      </c>
      <c r="R53" s="185"/>
      <c r="S53" s="832"/>
    </row>
    <row r="54" spans="1:19" ht="21" customHeight="1">
      <c r="A54" s="835" t="s">
        <v>809</v>
      </c>
      <c r="B54" s="835"/>
      <c r="C54" s="83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2"/>
    </row>
    <row r="55" spans="1:19" ht="12.75" customHeight="1">
      <c r="A55" s="180"/>
      <c r="B55" s="191"/>
      <c r="C55" s="191"/>
      <c r="D55" s="191"/>
      <c r="E55" s="191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832" t="s">
        <v>810</v>
      </c>
    </row>
    <row r="56" spans="1:19" ht="24.75" customHeight="1">
      <c r="A56" s="192" t="s">
        <v>562</v>
      </c>
      <c r="B56" s="158" t="s">
        <v>811</v>
      </c>
      <c r="C56" s="158" t="s">
        <v>812</v>
      </c>
      <c r="D56" s="193"/>
      <c r="E56" s="193"/>
      <c r="F56" s="194"/>
      <c r="G56" s="194"/>
      <c r="H56" s="194"/>
      <c r="I56" s="194"/>
      <c r="J56" s="194"/>
      <c r="K56" s="192"/>
      <c r="L56" s="192"/>
      <c r="M56" s="192"/>
      <c r="N56" s="192"/>
      <c r="O56" s="192"/>
      <c r="P56" s="192"/>
      <c r="Q56" s="192"/>
      <c r="R56" s="192"/>
      <c r="S56" s="832"/>
    </row>
    <row r="57" spans="1:19" ht="21" customHeight="1">
      <c r="A57" s="157"/>
      <c r="B57" s="161" t="s">
        <v>701</v>
      </c>
      <c r="C57" s="162" t="s">
        <v>813</v>
      </c>
      <c r="D57" s="163"/>
      <c r="E57" s="163"/>
      <c r="F57" s="163"/>
      <c r="G57" s="163"/>
      <c r="H57" s="163"/>
      <c r="I57" s="163"/>
      <c r="J57" s="163"/>
      <c r="K57" s="157"/>
      <c r="L57" s="157"/>
      <c r="M57" s="157"/>
      <c r="N57" s="157"/>
      <c r="O57" s="157"/>
      <c r="P57" s="157"/>
      <c r="Q57" s="157"/>
      <c r="R57" s="157"/>
      <c r="S57" s="832"/>
    </row>
    <row r="58" spans="1:19" ht="21" customHeight="1">
      <c r="A58" s="157"/>
      <c r="B58" s="165" t="s">
        <v>814</v>
      </c>
      <c r="C58" s="164" t="s">
        <v>464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832"/>
    </row>
    <row r="59" spans="1:19" ht="21" customHeight="1">
      <c r="A59" s="157"/>
      <c r="B59" s="157"/>
      <c r="C59" s="157" t="s">
        <v>815</v>
      </c>
      <c r="D59" s="195">
        <v>1500</v>
      </c>
      <c r="E59" s="157" t="s">
        <v>816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832"/>
    </row>
    <row r="60" spans="1:19" ht="21" customHeight="1">
      <c r="A60" s="157"/>
      <c r="B60" s="157"/>
      <c r="C60" s="157" t="s">
        <v>817</v>
      </c>
      <c r="D60" s="195">
        <v>1500</v>
      </c>
      <c r="E60" s="157" t="s">
        <v>816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832"/>
    </row>
    <row r="61" spans="1:19" ht="21" customHeight="1">
      <c r="A61" s="157"/>
      <c r="B61" s="157"/>
      <c r="C61" s="157" t="s">
        <v>818</v>
      </c>
      <c r="D61" s="196">
        <f>SUM(D57:D60)</f>
        <v>3000</v>
      </c>
      <c r="E61" s="157" t="s">
        <v>816</v>
      </c>
      <c r="F61" s="157"/>
      <c r="G61" s="157" t="s">
        <v>819</v>
      </c>
      <c r="H61" s="157"/>
      <c r="I61" s="157"/>
      <c r="J61" s="175" t="s">
        <v>789</v>
      </c>
      <c r="K61" s="157"/>
      <c r="L61" s="157"/>
      <c r="M61" s="197">
        <f>D61*20%</f>
        <v>600</v>
      </c>
      <c r="N61" s="157" t="s">
        <v>820</v>
      </c>
      <c r="O61" s="157"/>
      <c r="P61" s="157"/>
      <c r="Q61" s="157"/>
      <c r="R61" s="157"/>
      <c r="S61" s="832"/>
    </row>
    <row r="62" spans="1:19" ht="21" customHeight="1">
      <c r="A62" s="157"/>
      <c r="B62" s="157" t="s">
        <v>562</v>
      </c>
      <c r="C62" s="165" t="s">
        <v>463</v>
      </c>
      <c r="D62" s="165" t="s">
        <v>465</v>
      </c>
      <c r="E62" s="165"/>
      <c r="F62" s="157"/>
      <c r="G62" s="174" t="s">
        <v>778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832"/>
    </row>
    <row r="63" spans="1:19" ht="21" customHeight="1">
      <c r="A63" s="157"/>
      <c r="B63" s="175" t="s">
        <v>788</v>
      </c>
      <c r="C63" s="176">
        <v>500000</v>
      </c>
      <c r="D63" s="195">
        <v>6</v>
      </c>
      <c r="E63" s="198" t="s">
        <v>821</v>
      </c>
      <c r="F63" s="157"/>
      <c r="G63" s="172">
        <f>M61</f>
        <v>600</v>
      </c>
      <c r="H63" s="165" t="s">
        <v>787</v>
      </c>
      <c r="I63" s="165">
        <f>D63</f>
        <v>6</v>
      </c>
      <c r="J63" s="157" t="s">
        <v>822</v>
      </c>
      <c r="K63" s="157"/>
      <c r="L63" s="157" t="s">
        <v>783</v>
      </c>
      <c r="M63" s="172">
        <f>C63</f>
        <v>500000</v>
      </c>
      <c r="N63" s="157"/>
      <c r="O63" s="157" t="s">
        <v>784</v>
      </c>
      <c r="P63" s="157"/>
      <c r="Q63" s="199">
        <f>ROUND(G63*I63*100/M63,4)</f>
        <v>0.72</v>
      </c>
      <c r="R63" s="157"/>
      <c r="S63" s="832"/>
    </row>
    <row r="64" spans="1:19" ht="21" customHeight="1">
      <c r="A64" s="157"/>
      <c r="B64" s="157"/>
      <c r="C64" s="176">
        <v>1000000</v>
      </c>
      <c r="D64" s="195">
        <v>6</v>
      </c>
      <c r="E64" s="198" t="s">
        <v>821</v>
      </c>
      <c r="F64" s="157"/>
      <c r="G64" s="172">
        <f>M61</f>
        <v>600</v>
      </c>
      <c r="H64" s="165" t="s">
        <v>787</v>
      </c>
      <c r="I64" s="165">
        <f>D64</f>
        <v>6</v>
      </c>
      <c r="J64" s="157" t="s">
        <v>822</v>
      </c>
      <c r="K64" s="157"/>
      <c r="L64" s="157" t="s">
        <v>783</v>
      </c>
      <c r="M64" s="172">
        <f>C64</f>
        <v>1000000</v>
      </c>
      <c r="N64" s="157"/>
      <c r="O64" s="157" t="s">
        <v>784</v>
      </c>
      <c r="P64" s="157"/>
      <c r="Q64" s="199">
        <f>ROUND(G64*I64*100/M64,4)</f>
        <v>0.36</v>
      </c>
      <c r="R64" s="157"/>
      <c r="S64" s="832"/>
    </row>
    <row r="65" spans="1:19" ht="21" customHeight="1">
      <c r="A65" s="157"/>
      <c r="B65" s="157"/>
      <c r="C65" s="176">
        <v>5000000</v>
      </c>
      <c r="D65" s="195">
        <v>12</v>
      </c>
      <c r="E65" s="198" t="s">
        <v>821</v>
      </c>
      <c r="F65" s="157"/>
      <c r="G65" s="172">
        <f>M61</f>
        <v>600</v>
      </c>
      <c r="H65" s="165" t="s">
        <v>787</v>
      </c>
      <c r="I65" s="165">
        <f>D65</f>
        <v>12</v>
      </c>
      <c r="J65" s="157" t="s">
        <v>822</v>
      </c>
      <c r="K65" s="157"/>
      <c r="L65" s="157" t="s">
        <v>783</v>
      </c>
      <c r="M65" s="172">
        <f>C65</f>
        <v>5000000</v>
      </c>
      <c r="N65" s="157"/>
      <c r="O65" s="157" t="s">
        <v>784</v>
      </c>
      <c r="P65" s="157"/>
      <c r="Q65" s="199">
        <f>ROUND(G65*I65*100/M65,4)</f>
        <v>0.144</v>
      </c>
      <c r="R65" s="157"/>
      <c r="S65" s="832"/>
    </row>
    <row r="66" spans="1:19" ht="21" customHeight="1">
      <c r="A66" s="157"/>
      <c r="B66" s="157"/>
      <c r="C66" s="176">
        <v>10000000</v>
      </c>
      <c r="D66" s="195">
        <v>15</v>
      </c>
      <c r="E66" s="198" t="s">
        <v>821</v>
      </c>
      <c r="F66" s="157"/>
      <c r="G66" s="172">
        <f>M61</f>
        <v>600</v>
      </c>
      <c r="H66" s="165" t="s">
        <v>787</v>
      </c>
      <c r="I66" s="165">
        <f>D66</f>
        <v>15</v>
      </c>
      <c r="J66" s="157" t="s">
        <v>822</v>
      </c>
      <c r="K66" s="157"/>
      <c r="L66" s="157" t="s">
        <v>783</v>
      </c>
      <c r="M66" s="172">
        <f>C66</f>
        <v>10000000</v>
      </c>
      <c r="N66" s="157"/>
      <c r="O66" s="157" t="s">
        <v>784</v>
      </c>
      <c r="P66" s="157"/>
      <c r="Q66" s="199">
        <f>ROUND(G66*I66*100/M66,4)</f>
        <v>0.09</v>
      </c>
      <c r="R66" s="157"/>
      <c r="S66" s="832"/>
    </row>
    <row r="67" spans="1:19" ht="21" customHeight="1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200" t="s">
        <v>823</v>
      </c>
      <c r="N67" s="157"/>
      <c r="O67" s="157" t="s">
        <v>784</v>
      </c>
      <c r="P67" s="157"/>
      <c r="Q67" s="201">
        <f>ROUND((Q63+Q64+Q65+Q66)/4,4)</f>
        <v>0.3285</v>
      </c>
      <c r="R67" s="157"/>
      <c r="S67" s="832"/>
    </row>
    <row r="68" spans="1:19" ht="21" customHeight="1">
      <c r="A68" s="157"/>
      <c r="B68" s="165" t="s">
        <v>824</v>
      </c>
      <c r="C68" s="164" t="s">
        <v>466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832"/>
    </row>
    <row r="69" spans="1:19" ht="21" customHeight="1">
      <c r="A69" s="157"/>
      <c r="B69" s="157"/>
      <c r="C69" s="157" t="s">
        <v>825</v>
      </c>
      <c r="D69" s="195">
        <v>1500</v>
      </c>
      <c r="E69" s="157" t="s">
        <v>816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832"/>
    </row>
    <row r="70" spans="1:19" ht="21" customHeight="1">
      <c r="A70" s="157"/>
      <c r="B70" s="157"/>
      <c r="C70" s="157" t="s">
        <v>826</v>
      </c>
      <c r="D70" s="195">
        <v>1500</v>
      </c>
      <c r="E70" s="157" t="s">
        <v>816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832"/>
    </row>
    <row r="71" spans="1:19" ht="21" customHeight="1">
      <c r="A71" s="157"/>
      <c r="B71" s="157"/>
      <c r="C71" s="157" t="s">
        <v>827</v>
      </c>
      <c r="D71" s="195">
        <v>1500</v>
      </c>
      <c r="E71" s="157" t="s">
        <v>816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832"/>
    </row>
    <row r="72" spans="1:19" ht="21" customHeight="1">
      <c r="A72" s="157"/>
      <c r="B72" s="157"/>
      <c r="C72" s="157" t="s">
        <v>828</v>
      </c>
      <c r="D72" s="195">
        <v>0</v>
      </c>
      <c r="E72" s="157" t="s">
        <v>816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832"/>
    </row>
    <row r="73" spans="1:19" ht="21" customHeight="1">
      <c r="A73" s="157"/>
      <c r="B73" s="157"/>
      <c r="C73" s="157" t="s">
        <v>818</v>
      </c>
      <c r="D73" s="196">
        <f>SUM(D69:D72)</f>
        <v>4500</v>
      </c>
      <c r="E73" s="157" t="s">
        <v>816</v>
      </c>
      <c r="F73" s="157"/>
      <c r="G73" s="157" t="s">
        <v>819</v>
      </c>
      <c r="H73" s="157"/>
      <c r="I73" s="157"/>
      <c r="J73" s="175" t="s">
        <v>789</v>
      </c>
      <c r="K73" s="157"/>
      <c r="L73" s="157"/>
      <c r="M73" s="197">
        <f>D73*20%</f>
        <v>900</v>
      </c>
      <c r="N73" s="157" t="s">
        <v>820</v>
      </c>
      <c r="O73" s="157"/>
      <c r="P73" s="157"/>
      <c r="Q73" s="157"/>
      <c r="R73" s="157"/>
      <c r="S73" s="832"/>
    </row>
    <row r="74" spans="1:19" ht="21" customHeight="1">
      <c r="A74" s="157"/>
      <c r="B74" s="157" t="s">
        <v>562</v>
      </c>
      <c r="C74" s="165" t="s">
        <v>463</v>
      </c>
      <c r="D74" s="165" t="s">
        <v>465</v>
      </c>
      <c r="E74" s="165"/>
      <c r="F74" s="157"/>
      <c r="G74" s="174" t="s">
        <v>778</v>
      </c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832"/>
    </row>
    <row r="75" spans="1:19" ht="21" customHeight="1">
      <c r="A75" s="157"/>
      <c r="B75" s="175" t="s">
        <v>788</v>
      </c>
      <c r="C75" s="176">
        <v>10000001</v>
      </c>
      <c r="D75" s="195">
        <v>15</v>
      </c>
      <c r="E75" s="198" t="s">
        <v>821</v>
      </c>
      <c r="F75" s="157"/>
      <c r="G75" s="172">
        <f>M73</f>
        <v>900</v>
      </c>
      <c r="H75" s="165" t="s">
        <v>787</v>
      </c>
      <c r="I75" s="165">
        <f>D75</f>
        <v>15</v>
      </c>
      <c r="J75" s="157" t="s">
        <v>822</v>
      </c>
      <c r="K75" s="157"/>
      <c r="L75" s="157" t="s">
        <v>783</v>
      </c>
      <c r="M75" s="172">
        <f>C75</f>
        <v>10000001</v>
      </c>
      <c r="N75" s="157"/>
      <c r="O75" s="157" t="s">
        <v>784</v>
      </c>
      <c r="P75" s="157"/>
      <c r="Q75" s="199">
        <f>ROUND(G75*I75*100/M75,4)</f>
        <v>0.135</v>
      </c>
      <c r="R75" s="157"/>
      <c r="S75" s="832"/>
    </row>
    <row r="76" spans="1:19" ht="21" customHeight="1">
      <c r="A76" s="157"/>
      <c r="B76" s="157"/>
      <c r="C76" s="176">
        <v>15000000</v>
      </c>
      <c r="D76" s="195">
        <v>15</v>
      </c>
      <c r="E76" s="198" t="s">
        <v>821</v>
      </c>
      <c r="F76" s="157"/>
      <c r="G76" s="172">
        <f>M73</f>
        <v>900</v>
      </c>
      <c r="H76" s="165" t="s">
        <v>787</v>
      </c>
      <c r="I76" s="165">
        <f>D76</f>
        <v>15</v>
      </c>
      <c r="J76" s="157" t="s">
        <v>822</v>
      </c>
      <c r="K76" s="157"/>
      <c r="L76" s="157" t="s">
        <v>783</v>
      </c>
      <c r="M76" s="172">
        <f>C76</f>
        <v>15000000</v>
      </c>
      <c r="N76" s="157"/>
      <c r="O76" s="157" t="s">
        <v>784</v>
      </c>
      <c r="P76" s="157"/>
      <c r="Q76" s="199">
        <f>ROUND(G76*I76*100/M76,4)</f>
        <v>0.09</v>
      </c>
      <c r="R76" s="157"/>
      <c r="S76" s="832"/>
    </row>
    <row r="77" spans="1:19" ht="21" customHeight="1">
      <c r="A77" s="157"/>
      <c r="B77" s="157"/>
      <c r="C77" s="176">
        <v>20000000</v>
      </c>
      <c r="D77" s="195">
        <v>16</v>
      </c>
      <c r="E77" s="198" t="s">
        <v>821</v>
      </c>
      <c r="F77" s="157"/>
      <c r="G77" s="172">
        <f>M73</f>
        <v>900</v>
      </c>
      <c r="H77" s="165" t="s">
        <v>787</v>
      </c>
      <c r="I77" s="165">
        <f>D77</f>
        <v>16</v>
      </c>
      <c r="J77" s="157" t="s">
        <v>822</v>
      </c>
      <c r="K77" s="157"/>
      <c r="L77" s="157" t="s">
        <v>783</v>
      </c>
      <c r="M77" s="172">
        <f>C77</f>
        <v>20000000</v>
      </c>
      <c r="N77" s="157"/>
      <c r="O77" s="157" t="s">
        <v>784</v>
      </c>
      <c r="P77" s="157"/>
      <c r="Q77" s="199">
        <f>ROUND(G77*I77*100/M77,4)</f>
        <v>0.072</v>
      </c>
      <c r="R77" s="157"/>
      <c r="S77" s="832"/>
    </row>
    <row r="78" spans="1:19" ht="21" customHeight="1">
      <c r="A78" s="157"/>
      <c r="B78" s="157"/>
      <c r="C78" s="176">
        <v>25000000</v>
      </c>
      <c r="D78" s="195">
        <v>16</v>
      </c>
      <c r="E78" s="198" t="s">
        <v>821</v>
      </c>
      <c r="F78" s="157"/>
      <c r="G78" s="172">
        <f>M73</f>
        <v>900</v>
      </c>
      <c r="H78" s="165" t="s">
        <v>787</v>
      </c>
      <c r="I78" s="165">
        <f>D78</f>
        <v>16</v>
      </c>
      <c r="J78" s="157" t="s">
        <v>822</v>
      </c>
      <c r="K78" s="157"/>
      <c r="L78" s="157" t="s">
        <v>783</v>
      </c>
      <c r="M78" s="172">
        <f>C78</f>
        <v>25000000</v>
      </c>
      <c r="N78" s="157"/>
      <c r="O78" s="157" t="s">
        <v>784</v>
      </c>
      <c r="P78" s="157"/>
      <c r="Q78" s="199">
        <f>ROUND(G78*I78*100/M78,4)</f>
        <v>0.0576</v>
      </c>
      <c r="R78" s="157"/>
      <c r="S78" s="832"/>
    </row>
    <row r="79" spans="1:19" ht="21" customHeight="1">
      <c r="A79" s="157"/>
      <c r="B79" s="157"/>
      <c r="C79" s="176">
        <v>30000000</v>
      </c>
      <c r="D79" s="195">
        <v>17</v>
      </c>
      <c r="E79" s="198" t="s">
        <v>821</v>
      </c>
      <c r="F79" s="157"/>
      <c r="G79" s="172">
        <f>M73</f>
        <v>900</v>
      </c>
      <c r="H79" s="165" t="s">
        <v>787</v>
      </c>
      <c r="I79" s="165">
        <f>D79</f>
        <v>17</v>
      </c>
      <c r="J79" s="157" t="s">
        <v>822</v>
      </c>
      <c r="K79" s="157"/>
      <c r="L79" s="157" t="s">
        <v>783</v>
      </c>
      <c r="M79" s="172">
        <f>C79</f>
        <v>30000000</v>
      </c>
      <c r="N79" s="157"/>
      <c r="O79" s="157" t="s">
        <v>784</v>
      </c>
      <c r="P79" s="157"/>
      <c r="Q79" s="199">
        <f>ROUND(G79*I79*100/M79,4)</f>
        <v>0.051</v>
      </c>
      <c r="R79" s="157"/>
      <c r="S79" s="832"/>
    </row>
    <row r="80" spans="1:19" ht="21" customHeight="1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200" t="s">
        <v>823</v>
      </c>
      <c r="N80" s="157"/>
      <c r="O80" s="157" t="s">
        <v>784</v>
      </c>
      <c r="P80" s="157"/>
      <c r="Q80" s="201">
        <f>ROUND((Q75+Q76+Q77+Q78+Q79)/5,4)</f>
        <v>0.0811</v>
      </c>
      <c r="R80" s="157"/>
      <c r="S80" s="832"/>
    </row>
    <row r="81" spans="1:19" ht="21" customHeight="1">
      <c r="A81" s="835" t="s">
        <v>829</v>
      </c>
      <c r="B81" s="835"/>
      <c r="C81" s="835"/>
      <c r="D81" s="835"/>
      <c r="E81" s="835"/>
      <c r="F81" s="835"/>
      <c r="G81" s="835"/>
      <c r="H81" s="835"/>
      <c r="I81" s="835"/>
      <c r="J81" s="835"/>
      <c r="K81" s="835"/>
      <c r="L81" s="835"/>
      <c r="M81" s="835"/>
      <c r="N81" s="835"/>
      <c r="O81" s="835"/>
      <c r="P81" s="835"/>
      <c r="Q81" s="835"/>
      <c r="R81" s="835"/>
      <c r="S81" s="832"/>
    </row>
    <row r="82" spans="1:19" ht="21" customHeigh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832" t="s">
        <v>830</v>
      </c>
    </row>
    <row r="83" spans="1:19" ht="21" customHeight="1">
      <c r="A83" s="157"/>
      <c r="B83" s="165" t="s">
        <v>831</v>
      </c>
      <c r="C83" s="164" t="s">
        <v>467</v>
      </c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832"/>
    </row>
    <row r="84" spans="1:19" ht="21" customHeight="1">
      <c r="A84" s="157"/>
      <c r="B84" s="157"/>
      <c r="C84" s="157" t="s">
        <v>825</v>
      </c>
      <c r="D84" s="195">
        <v>1500</v>
      </c>
      <c r="E84" s="157" t="s">
        <v>816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832"/>
    </row>
    <row r="85" spans="1:19" ht="21" customHeight="1">
      <c r="A85" s="157"/>
      <c r="B85" s="157"/>
      <c r="C85" s="157" t="s">
        <v>826</v>
      </c>
      <c r="D85" s="195">
        <v>1500</v>
      </c>
      <c r="E85" s="157" t="s">
        <v>816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832"/>
    </row>
    <row r="86" spans="1:19" ht="21" customHeight="1">
      <c r="A86" s="157"/>
      <c r="B86" s="157"/>
      <c r="C86" s="157" t="s">
        <v>827</v>
      </c>
      <c r="D86" s="195">
        <v>1500</v>
      </c>
      <c r="E86" s="157" t="s">
        <v>816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832"/>
    </row>
    <row r="87" spans="1:19" ht="21" customHeight="1">
      <c r="A87" s="157"/>
      <c r="B87" s="157"/>
      <c r="C87" s="157" t="s">
        <v>828</v>
      </c>
      <c r="D87" s="195">
        <v>0</v>
      </c>
      <c r="E87" s="157" t="s">
        <v>816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832"/>
    </row>
    <row r="88" spans="1:19" ht="21" customHeight="1">
      <c r="A88" s="157"/>
      <c r="B88" s="157"/>
      <c r="C88" s="157" t="s">
        <v>818</v>
      </c>
      <c r="D88" s="196">
        <f>SUM(D84:D87)</f>
        <v>4500</v>
      </c>
      <c r="E88" s="157" t="s">
        <v>816</v>
      </c>
      <c r="F88" s="157"/>
      <c r="G88" s="157" t="s">
        <v>832</v>
      </c>
      <c r="H88" s="157"/>
      <c r="I88" s="157"/>
      <c r="J88" s="175" t="s">
        <v>789</v>
      </c>
      <c r="K88" s="157"/>
      <c r="L88" s="157"/>
      <c r="M88" s="197">
        <f>D88*25%</f>
        <v>1125</v>
      </c>
      <c r="N88" s="157" t="s">
        <v>820</v>
      </c>
      <c r="O88" s="157"/>
      <c r="P88" s="157"/>
      <c r="Q88" s="157"/>
      <c r="R88" s="157"/>
      <c r="S88" s="832"/>
    </row>
    <row r="89" spans="1:19" ht="21" customHeight="1">
      <c r="A89" s="157"/>
      <c r="B89" s="157" t="s">
        <v>562</v>
      </c>
      <c r="C89" s="165" t="s">
        <v>463</v>
      </c>
      <c r="D89" s="165" t="s">
        <v>465</v>
      </c>
      <c r="E89" s="165"/>
      <c r="F89" s="157"/>
      <c r="G89" s="836" t="s">
        <v>778</v>
      </c>
      <c r="H89" s="836"/>
      <c r="I89" s="836"/>
      <c r="J89" s="836"/>
      <c r="K89" s="836"/>
      <c r="L89" s="836"/>
      <c r="M89" s="836"/>
      <c r="N89" s="836"/>
      <c r="O89" s="836"/>
      <c r="P89" s="836"/>
      <c r="Q89" s="836"/>
      <c r="R89" s="836"/>
      <c r="S89" s="832"/>
    </row>
    <row r="90" spans="1:19" ht="21" customHeight="1">
      <c r="A90" s="157"/>
      <c r="B90" s="175" t="s">
        <v>788</v>
      </c>
      <c r="C90" s="176">
        <v>30000001</v>
      </c>
      <c r="D90" s="195">
        <v>17</v>
      </c>
      <c r="E90" s="198" t="s">
        <v>821</v>
      </c>
      <c r="F90" s="157"/>
      <c r="G90" s="172">
        <f>M88</f>
        <v>1125</v>
      </c>
      <c r="H90" s="165" t="s">
        <v>787</v>
      </c>
      <c r="I90" s="165">
        <f>D90</f>
        <v>17</v>
      </c>
      <c r="J90" s="157" t="s">
        <v>822</v>
      </c>
      <c r="K90" s="157"/>
      <c r="L90" s="157" t="s">
        <v>783</v>
      </c>
      <c r="M90" s="172">
        <f>C90</f>
        <v>30000001</v>
      </c>
      <c r="N90" s="157"/>
      <c r="O90" s="157" t="s">
        <v>784</v>
      </c>
      <c r="P90" s="157"/>
      <c r="Q90" s="199">
        <f>ROUND(G90*I90*100/M90,4)</f>
        <v>0.0637</v>
      </c>
      <c r="R90" s="157"/>
      <c r="S90" s="832"/>
    </row>
    <row r="91" spans="1:19" ht="21" customHeight="1">
      <c r="A91" s="157"/>
      <c r="B91" s="157"/>
      <c r="C91" s="176">
        <v>40000000</v>
      </c>
      <c r="D91" s="195">
        <v>17</v>
      </c>
      <c r="E91" s="198" t="s">
        <v>821</v>
      </c>
      <c r="F91" s="157"/>
      <c r="G91" s="172">
        <f>M88</f>
        <v>1125</v>
      </c>
      <c r="H91" s="165" t="s">
        <v>787</v>
      </c>
      <c r="I91" s="165">
        <f>D91</f>
        <v>17</v>
      </c>
      <c r="J91" s="157" t="s">
        <v>822</v>
      </c>
      <c r="K91" s="157"/>
      <c r="L91" s="157" t="s">
        <v>783</v>
      </c>
      <c r="M91" s="172">
        <f>C91</f>
        <v>40000000</v>
      </c>
      <c r="N91" s="157"/>
      <c r="O91" s="157" t="s">
        <v>784</v>
      </c>
      <c r="P91" s="157"/>
      <c r="Q91" s="199">
        <f>ROUND(G91*I91*100/M91,4)</f>
        <v>0.0478</v>
      </c>
      <c r="R91" s="157"/>
      <c r="S91" s="832"/>
    </row>
    <row r="92" spans="1:19" ht="21" customHeight="1">
      <c r="A92" s="157"/>
      <c r="B92" s="157"/>
      <c r="C92" s="176">
        <v>50000000</v>
      </c>
      <c r="D92" s="195">
        <v>18</v>
      </c>
      <c r="E92" s="198" t="s">
        <v>821</v>
      </c>
      <c r="F92" s="157"/>
      <c r="G92" s="172">
        <f>M88</f>
        <v>1125</v>
      </c>
      <c r="H92" s="165" t="s">
        <v>787</v>
      </c>
      <c r="I92" s="165">
        <f>D92</f>
        <v>18</v>
      </c>
      <c r="J92" s="157" t="s">
        <v>822</v>
      </c>
      <c r="K92" s="157"/>
      <c r="L92" s="157" t="s">
        <v>783</v>
      </c>
      <c r="M92" s="172">
        <f>C92</f>
        <v>50000000</v>
      </c>
      <c r="N92" s="157"/>
      <c r="O92" s="157" t="s">
        <v>784</v>
      </c>
      <c r="P92" s="157"/>
      <c r="Q92" s="199">
        <f>ROUND(G92*I92*100/M92,4)</f>
        <v>0.0405</v>
      </c>
      <c r="R92" s="157"/>
      <c r="S92" s="832"/>
    </row>
    <row r="93" spans="1:19" ht="21" customHeight="1">
      <c r="A93" s="157"/>
      <c r="B93" s="157"/>
      <c r="C93" s="176" t="s">
        <v>562</v>
      </c>
      <c r="D93" s="157"/>
      <c r="E93" s="157" t="s">
        <v>562</v>
      </c>
      <c r="F93" s="157"/>
      <c r="G93" s="157"/>
      <c r="H93" s="157"/>
      <c r="I93" s="157"/>
      <c r="J93" s="157"/>
      <c r="K93" s="157"/>
      <c r="L93" s="157"/>
      <c r="M93" s="200" t="s">
        <v>823</v>
      </c>
      <c r="N93" s="157"/>
      <c r="O93" s="157" t="s">
        <v>784</v>
      </c>
      <c r="P93" s="157"/>
      <c r="Q93" s="201">
        <f>ROUND((Q90+Q91+Q92)/3,4)</f>
        <v>0.0507</v>
      </c>
      <c r="R93" s="157"/>
      <c r="S93" s="832"/>
    </row>
    <row r="94" spans="1:19" ht="21" customHeight="1">
      <c r="A94" s="157"/>
      <c r="B94" s="165" t="s">
        <v>833</v>
      </c>
      <c r="C94" s="164" t="s">
        <v>834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832"/>
    </row>
    <row r="95" spans="1:19" ht="21" customHeight="1">
      <c r="A95" s="157"/>
      <c r="B95" s="157"/>
      <c r="C95" s="157" t="s">
        <v>825</v>
      </c>
      <c r="D95" s="195">
        <v>1500</v>
      </c>
      <c r="E95" s="157" t="s">
        <v>816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832"/>
    </row>
    <row r="96" spans="1:19" ht="21" customHeight="1">
      <c r="A96" s="157"/>
      <c r="B96" s="157"/>
      <c r="C96" s="157" t="s">
        <v>826</v>
      </c>
      <c r="D96" s="195">
        <v>1500</v>
      </c>
      <c r="E96" s="157" t="s">
        <v>816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832"/>
    </row>
    <row r="97" spans="1:19" ht="21" customHeight="1">
      <c r="A97" s="157"/>
      <c r="B97" s="157"/>
      <c r="C97" s="157" t="s">
        <v>827</v>
      </c>
      <c r="D97" s="195">
        <v>1500</v>
      </c>
      <c r="E97" s="157" t="s">
        <v>816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832"/>
    </row>
    <row r="98" spans="1:19" ht="21" customHeight="1">
      <c r="A98" s="157"/>
      <c r="B98" s="157"/>
      <c r="C98" s="157" t="s">
        <v>828</v>
      </c>
      <c r="D98" s="195">
        <v>1500</v>
      </c>
      <c r="E98" s="157" t="s">
        <v>816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832"/>
    </row>
    <row r="99" spans="1:19" ht="21" customHeight="1">
      <c r="A99" s="157"/>
      <c r="B99" s="157"/>
      <c r="C99" s="157" t="s">
        <v>818</v>
      </c>
      <c r="D99" s="196">
        <f>SUM(D95:D98)</f>
        <v>6000</v>
      </c>
      <c r="E99" s="157" t="s">
        <v>816</v>
      </c>
      <c r="F99" s="157"/>
      <c r="G99" s="157" t="s">
        <v>832</v>
      </c>
      <c r="H99" s="157"/>
      <c r="I99" s="157"/>
      <c r="J99" s="175" t="s">
        <v>789</v>
      </c>
      <c r="K99" s="157"/>
      <c r="L99" s="157"/>
      <c r="M99" s="197">
        <f>D99*25%</f>
        <v>1500</v>
      </c>
      <c r="N99" s="157" t="s">
        <v>820</v>
      </c>
      <c r="O99" s="157"/>
      <c r="P99" s="157"/>
      <c r="Q99" s="157"/>
      <c r="R99" s="157"/>
      <c r="S99" s="832"/>
    </row>
    <row r="100" spans="1:19" ht="21" customHeight="1">
      <c r="A100" s="157"/>
      <c r="B100" s="157" t="s">
        <v>562</v>
      </c>
      <c r="C100" s="165" t="s">
        <v>463</v>
      </c>
      <c r="D100" s="165" t="s">
        <v>465</v>
      </c>
      <c r="E100" s="165"/>
      <c r="F100" s="157"/>
      <c r="G100" s="836" t="s">
        <v>778</v>
      </c>
      <c r="H100" s="836"/>
      <c r="I100" s="836"/>
      <c r="J100" s="836"/>
      <c r="K100" s="836"/>
      <c r="L100" s="836"/>
      <c r="M100" s="836"/>
      <c r="N100" s="836"/>
      <c r="O100" s="836"/>
      <c r="P100" s="836"/>
      <c r="Q100" s="836"/>
      <c r="R100" s="836"/>
      <c r="S100" s="832"/>
    </row>
    <row r="101" spans="1:19" ht="21" customHeight="1">
      <c r="A101" s="157"/>
      <c r="B101" s="175" t="s">
        <v>788</v>
      </c>
      <c r="C101" s="176">
        <v>50000001</v>
      </c>
      <c r="D101" s="195">
        <v>18</v>
      </c>
      <c r="E101" s="198" t="s">
        <v>821</v>
      </c>
      <c r="F101" s="157"/>
      <c r="G101" s="172">
        <f>M99</f>
        <v>1500</v>
      </c>
      <c r="H101" s="165" t="s">
        <v>787</v>
      </c>
      <c r="I101" s="165">
        <f>D101</f>
        <v>18</v>
      </c>
      <c r="J101" s="157" t="s">
        <v>822</v>
      </c>
      <c r="K101" s="157"/>
      <c r="L101" s="157" t="s">
        <v>783</v>
      </c>
      <c r="M101" s="172">
        <f>C101</f>
        <v>50000001</v>
      </c>
      <c r="N101" s="157"/>
      <c r="O101" s="157" t="s">
        <v>784</v>
      </c>
      <c r="P101" s="157"/>
      <c r="Q101" s="199">
        <f>ROUND(G101*I101*100/M101,4)</f>
        <v>0.054</v>
      </c>
      <c r="R101" s="157"/>
      <c r="S101" s="832"/>
    </row>
    <row r="102" spans="1:19" ht="21" customHeight="1">
      <c r="A102" s="157"/>
      <c r="B102" s="157"/>
      <c r="C102" s="176">
        <v>60000000</v>
      </c>
      <c r="D102" s="195">
        <v>18</v>
      </c>
      <c r="E102" s="198" t="s">
        <v>821</v>
      </c>
      <c r="F102" s="157"/>
      <c r="G102" s="172">
        <f>M99</f>
        <v>1500</v>
      </c>
      <c r="H102" s="165" t="s">
        <v>787</v>
      </c>
      <c r="I102" s="165">
        <f>D102</f>
        <v>18</v>
      </c>
      <c r="J102" s="157" t="s">
        <v>822</v>
      </c>
      <c r="K102" s="157"/>
      <c r="L102" s="157" t="s">
        <v>783</v>
      </c>
      <c r="M102" s="172">
        <f>C102</f>
        <v>60000000</v>
      </c>
      <c r="N102" s="157"/>
      <c r="O102" s="157" t="s">
        <v>784</v>
      </c>
      <c r="P102" s="157"/>
      <c r="Q102" s="199">
        <f>ROUND(G102*I102*100/M102,4)</f>
        <v>0.045</v>
      </c>
      <c r="R102" s="157"/>
      <c r="S102" s="832"/>
    </row>
    <row r="103" spans="1:19" ht="21" customHeight="1">
      <c r="A103" s="157"/>
      <c r="B103" s="157"/>
      <c r="C103" s="176">
        <v>70000000</v>
      </c>
      <c r="D103" s="195">
        <v>20</v>
      </c>
      <c r="E103" s="198" t="s">
        <v>821</v>
      </c>
      <c r="F103" s="157"/>
      <c r="G103" s="172">
        <f>M99</f>
        <v>1500</v>
      </c>
      <c r="H103" s="165" t="s">
        <v>787</v>
      </c>
      <c r="I103" s="165">
        <f>D103</f>
        <v>20</v>
      </c>
      <c r="J103" s="157" t="s">
        <v>822</v>
      </c>
      <c r="K103" s="157"/>
      <c r="L103" s="157" t="s">
        <v>783</v>
      </c>
      <c r="M103" s="172">
        <f>C103</f>
        <v>70000000</v>
      </c>
      <c r="N103" s="157"/>
      <c r="O103" s="157" t="s">
        <v>784</v>
      </c>
      <c r="P103" s="157"/>
      <c r="Q103" s="199">
        <f>ROUND(G103*I103*100/M103,4)</f>
        <v>0.0429</v>
      </c>
      <c r="R103" s="157"/>
      <c r="S103" s="832"/>
    </row>
    <row r="104" spans="1:19" ht="21" customHeight="1">
      <c r="A104" s="157"/>
      <c r="B104" s="157"/>
      <c r="C104" s="176">
        <v>80000000</v>
      </c>
      <c r="D104" s="195">
        <v>20</v>
      </c>
      <c r="E104" s="198" t="s">
        <v>821</v>
      </c>
      <c r="F104" s="157"/>
      <c r="G104" s="172">
        <f>M99</f>
        <v>1500</v>
      </c>
      <c r="H104" s="165" t="s">
        <v>787</v>
      </c>
      <c r="I104" s="165">
        <f>D104</f>
        <v>20</v>
      </c>
      <c r="J104" s="157" t="s">
        <v>822</v>
      </c>
      <c r="K104" s="157"/>
      <c r="L104" s="157" t="s">
        <v>783</v>
      </c>
      <c r="M104" s="172">
        <f>C104</f>
        <v>80000000</v>
      </c>
      <c r="N104" s="157"/>
      <c r="O104" s="157" t="s">
        <v>784</v>
      </c>
      <c r="P104" s="157"/>
      <c r="Q104" s="199">
        <f>ROUND(G104*I104*100/M104,4)</f>
        <v>0.0375</v>
      </c>
      <c r="R104" s="157"/>
      <c r="S104" s="832"/>
    </row>
    <row r="105" spans="1:19" ht="21" customHeight="1">
      <c r="A105" s="157"/>
      <c r="B105" s="157"/>
      <c r="C105" s="176" t="s">
        <v>562</v>
      </c>
      <c r="D105" s="157"/>
      <c r="E105" s="157" t="s">
        <v>562</v>
      </c>
      <c r="F105" s="157"/>
      <c r="G105" s="157"/>
      <c r="H105" s="157"/>
      <c r="I105" s="157"/>
      <c r="J105" s="157"/>
      <c r="K105" s="157"/>
      <c r="L105" s="157"/>
      <c r="M105" s="200" t="s">
        <v>823</v>
      </c>
      <c r="N105" s="157"/>
      <c r="O105" s="157" t="s">
        <v>784</v>
      </c>
      <c r="P105" s="157"/>
      <c r="Q105" s="201">
        <f>ROUND((Q102+Q103+Q104)/3,4)</f>
        <v>0.0418</v>
      </c>
      <c r="R105" s="157"/>
      <c r="S105" s="832"/>
    </row>
    <row r="106" spans="1:19" ht="21" customHeight="1">
      <c r="A106" s="157"/>
      <c r="B106" s="157"/>
      <c r="C106" s="176" t="s">
        <v>562</v>
      </c>
      <c r="D106" s="157"/>
      <c r="E106" s="157" t="s">
        <v>562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832"/>
    </row>
    <row r="107" spans="1:19" ht="21" customHeight="1">
      <c r="A107" s="157"/>
      <c r="B107" s="157"/>
      <c r="C107" s="176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832"/>
    </row>
    <row r="108" spans="1:19" ht="21" customHeight="1">
      <c r="A108" s="835" t="s">
        <v>835</v>
      </c>
      <c r="B108" s="835"/>
      <c r="C108" s="835"/>
      <c r="D108" s="835"/>
      <c r="E108" s="835"/>
      <c r="F108" s="835"/>
      <c r="G108" s="835"/>
      <c r="H108" s="835"/>
      <c r="I108" s="835"/>
      <c r="J108" s="835"/>
      <c r="K108" s="835"/>
      <c r="L108" s="835"/>
      <c r="M108" s="835"/>
      <c r="N108" s="835"/>
      <c r="O108" s="835"/>
      <c r="P108" s="835"/>
      <c r="Q108" s="835"/>
      <c r="R108" s="835"/>
      <c r="S108" s="832"/>
    </row>
    <row r="109" spans="1:19" ht="21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832" t="s">
        <v>836</v>
      </c>
    </row>
    <row r="110" spans="1:19" ht="21" customHeight="1">
      <c r="A110" s="157"/>
      <c r="B110" s="165" t="s">
        <v>837</v>
      </c>
      <c r="C110" s="164" t="s">
        <v>468</v>
      </c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832"/>
    </row>
    <row r="111" spans="1:19" ht="21" customHeight="1">
      <c r="A111" s="157"/>
      <c r="B111" s="157"/>
      <c r="C111" s="157" t="s">
        <v>825</v>
      </c>
      <c r="D111" s="195">
        <v>1500</v>
      </c>
      <c r="E111" s="157" t="s">
        <v>816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832"/>
    </row>
    <row r="112" spans="1:19" ht="21" customHeight="1">
      <c r="A112" s="157"/>
      <c r="B112" s="157"/>
      <c r="C112" s="157" t="s">
        <v>826</v>
      </c>
      <c r="D112" s="195">
        <v>1500</v>
      </c>
      <c r="E112" s="157" t="s">
        <v>816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832"/>
    </row>
    <row r="113" spans="1:19" ht="21" customHeight="1">
      <c r="A113" s="157"/>
      <c r="B113" s="157"/>
      <c r="C113" s="157" t="s">
        <v>827</v>
      </c>
      <c r="D113" s="195">
        <v>1500</v>
      </c>
      <c r="E113" s="157" t="s">
        <v>816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832"/>
    </row>
    <row r="114" spans="1:19" ht="21" customHeight="1">
      <c r="A114" s="157"/>
      <c r="B114" s="157"/>
      <c r="C114" s="157" t="s">
        <v>828</v>
      </c>
      <c r="D114" s="195">
        <v>1500</v>
      </c>
      <c r="E114" s="157" t="s">
        <v>816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832"/>
    </row>
    <row r="115" spans="1:19" ht="21" customHeight="1">
      <c r="A115" s="157"/>
      <c r="B115" s="157"/>
      <c r="C115" s="157" t="s">
        <v>818</v>
      </c>
      <c r="D115" s="196">
        <f>SUM(D111:D114)</f>
        <v>6000</v>
      </c>
      <c r="E115" s="157" t="s">
        <v>816</v>
      </c>
      <c r="F115" s="157"/>
      <c r="G115" s="157" t="s">
        <v>838</v>
      </c>
      <c r="H115" s="157"/>
      <c r="I115" s="157"/>
      <c r="J115" s="175" t="s">
        <v>789</v>
      </c>
      <c r="K115" s="157"/>
      <c r="L115" s="157"/>
      <c r="M115" s="197">
        <f>D115*30%</f>
        <v>1800</v>
      </c>
      <c r="N115" s="157" t="s">
        <v>820</v>
      </c>
      <c r="O115" s="157"/>
      <c r="P115" s="157"/>
      <c r="Q115" s="157"/>
      <c r="R115" s="157"/>
      <c r="S115" s="832"/>
    </row>
    <row r="116" spans="1:19" ht="21" customHeight="1">
      <c r="A116" s="157"/>
      <c r="B116" s="157" t="s">
        <v>562</v>
      </c>
      <c r="C116" s="165" t="s">
        <v>463</v>
      </c>
      <c r="D116" s="165" t="s">
        <v>465</v>
      </c>
      <c r="E116" s="165"/>
      <c r="F116" s="157"/>
      <c r="G116" s="836" t="s">
        <v>778</v>
      </c>
      <c r="H116" s="836"/>
      <c r="I116" s="836"/>
      <c r="J116" s="836"/>
      <c r="K116" s="836"/>
      <c r="L116" s="836"/>
      <c r="M116" s="836"/>
      <c r="N116" s="836"/>
      <c r="O116" s="836"/>
      <c r="P116" s="836"/>
      <c r="Q116" s="836"/>
      <c r="R116" s="836"/>
      <c r="S116" s="832"/>
    </row>
    <row r="117" spans="1:19" ht="21" customHeight="1">
      <c r="A117" s="157"/>
      <c r="B117" s="175" t="s">
        <v>788</v>
      </c>
      <c r="C117" s="176">
        <v>80000001</v>
      </c>
      <c r="D117" s="195">
        <v>20</v>
      </c>
      <c r="E117" s="198" t="s">
        <v>821</v>
      </c>
      <c r="F117" s="157"/>
      <c r="G117" s="172">
        <f>M115</f>
        <v>1800</v>
      </c>
      <c r="H117" s="165" t="s">
        <v>787</v>
      </c>
      <c r="I117" s="165">
        <f>D117</f>
        <v>20</v>
      </c>
      <c r="J117" s="157" t="s">
        <v>822</v>
      </c>
      <c r="K117" s="157"/>
      <c r="L117" s="157" t="s">
        <v>783</v>
      </c>
      <c r="M117" s="172">
        <f>C117</f>
        <v>80000001</v>
      </c>
      <c r="N117" s="157"/>
      <c r="O117" s="157" t="s">
        <v>784</v>
      </c>
      <c r="P117" s="157"/>
      <c r="Q117" s="199">
        <f>ROUND(G117*I117*100/M117,4)</f>
        <v>0.045</v>
      </c>
      <c r="R117" s="157"/>
      <c r="S117" s="832"/>
    </row>
    <row r="118" spans="1:19" ht="21" customHeight="1">
      <c r="A118" s="157"/>
      <c r="B118" s="157"/>
      <c r="C118" s="176">
        <v>90000000</v>
      </c>
      <c r="D118" s="195">
        <v>20</v>
      </c>
      <c r="E118" s="198" t="s">
        <v>821</v>
      </c>
      <c r="F118" s="157"/>
      <c r="G118" s="172">
        <f>M115</f>
        <v>1800</v>
      </c>
      <c r="H118" s="165" t="s">
        <v>787</v>
      </c>
      <c r="I118" s="165">
        <f>D118</f>
        <v>20</v>
      </c>
      <c r="J118" s="157" t="s">
        <v>822</v>
      </c>
      <c r="K118" s="157"/>
      <c r="L118" s="157" t="s">
        <v>783</v>
      </c>
      <c r="M118" s="172">
        <f>C118</f>
        <v>90000000</v>
      </c>
      <c r="N118" s="157"/>
      <c r="O118" s="157" t="s">
        <v>784</v>
      </c>
      <c r="P118" s="157"/>
      <c r="Q118" s="199">
        <f>ROUND(G118*I118*100/M118,4)</f>
        <v>0.04</v>
      </c>
      <c r="R118" s="157"/>
      <c r="S118" s="832"/>
    </row>
    <row r="119" spans="1:19" ht="21" customHeight="1">
      <c r="A119" s="157"/>
      <c r="B119" s="157"/>
      <c r="C119" s="176">
        <v>100000000</v>
      </c>
      <c r="D119" s="195">
        <v>20</v>
      </c>
      <c r="E119" s="198" t="s">
        <v>821</v>
      </c>
      <c r="F119" s="157"/>
      <c r="G119" s="172">
        <f>M115</f>
        <v>1800</v>
      </c>
      <c r="H119" s="165" t="s">
        <v>787</v>
      </c>
      <c r="I119" s="165">
        <f>D119</f>
        <v>20</v>
      </c>
      <c r="J119" s="157" t="s">
        <v>822</v>
      </c>
      <c r="K119" s="157"/>
      <c r="L119" s="157" t="s">
        <v>783</v>
      </c>
      <c r="M119" s="172">
        <f>C119</f>
        <v>100000000</v>
      </c>
      <c r="N119" s="157"/>
      <c r="O119" s="157" t="s">
        <v>784</v>
      </c>
      <c r="P119" s="157"/>
      <c r="Q119" s="199">
        <f>ROUND(G119*I119*100/M119,4)</f>
        <v>0.036</v>
      </c>
      <c r="R119" s="157"/>
      <c r="S119" s="832"/>
    </row>
    <row r="120" spans="1:19" ht="21" customHeight="1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200" t="s">
        <v>823</v>
      </c>
      <c r="N120" s="157"/>
      <c r="O120" s="157" t="s">
        <v>784</v>
      </c>
      <c r="P120" s="157"/>
      <c r="Q120" s="201">
        <f>ROUND((Q117+Q118+Q119)/3,4)</f>
        <v>0.0403</v>
      </c>
      <c r="R120" s="157"/>
      <c r="S120" s="832"/>
    </row>
    <row r="121" spans="1:19" ht="21" customHeight="1">
      <c r="A121" s="157"/>
      <c r="B121" s="165" t="s">
        <v>839</v>
      </c>
      <c r="C121" s="164" t="s">
        <v>469</v>
      </c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832"/>
    </row>
    <row r="122" spans="1:19" ht="21" customHeight="1">
      <c r="A122" s="157"/>
      <c r="B122" s="157"/>
      <c r="C122" s="157" t="s">
        <v>825</v>
      </c>
      <c r="D122" s="195">
        <v>1500</v>
      </c>
      <c r="E122" s="157" t="s">
        <v>816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832"/>
    </row>
    <row r="123" spans="1:19" ht="21" customHeight="1">
      <c r="A123" s="157"/>
      <c r="B123" s="157"/>
      <c r="C123" s="157" t="s">
        <v>826</v>
      </c>
      <c r="D123" s="195">
        <v>1500</v>
      </c>
      <c r="E123" s="157" t="s">
        <v>816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832"/>
    </row>
    <row r="124" spans="1:19" ht="21" customHeight="1">
      <c r="A124" s="157"/>
      <c r="B124" s="157"/>
      <c r="C124" s="157" t="s">
        <v>827</v>
      </c>
      <c r="D124" s="195">
        <v>1500</v>
      </c>
      <c r="E124" s="157" t="s">
        <v>816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832"/>
    </row>
    <row r="125" spans="1:19" ht="21" customHeight="1">
      <c r="A125" s="157"/>
      <c r="B125" s="157"/>
      <c r="C125" s="157" t="s">
        <v>828</v>
      </c>
      <c r="D125" s="195">
        <v>1500</v>
      </c>
      <c r="E125" s="157" t="s">
        <v>816</v>
      </c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832"/>
    </row>
    <row r="126" spans="1:19" ht="21" customHeight="1">
      <c r="A126" s="157"/>
      <c r="B126" s="157"/>
      <c r="C126" s="157" t="s">
        <v>840</v>
      </c>
      <c r="D126" s="195">
        <v>1500</v>
      </c>
      <c r="E126" s="157" t="s">
        <v>816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832"/>
    </row>
    <row r="127" spans="1:19" ht="21" customHeight="1">
      <c r="A127" s="157"/>
      <c r="B127" s="157" t="s">
        <v>562</v>
      </c>
      <c r="C127" s="157" t="s">
        <v>818</v>
      </c>
      <c r="D127" s="196">
        <f>SUM(D122:D126)</f>
        <v>7500</v>
      </c>
      <c r="E127" s="157" t="s">
        <v>816</v>
      </c>
      <c r="F127" s="157"/>
      <c r="G127" s="157" t="s">
        <v>838</v>
      </c>
      <c r="H127" s="157"/>
      <c r="I127" s="157"/>
      <c r="J127" s="175" t="s">
        <v>789</v>
      </c>
      <c r="K127" s="157"/>
      <c r="L127" s="157"/>
      <c r="M127" s="197">
        <f>D127*30%</f>
        <v>2250</v>
      </c>
      <c r="N127" s="157" t="s">
        <v>820</v>
      </c>
      <c r="O127" s="157"/>
      <c r="P127" s="157"/>
      <c r="Q127" s="157"/>
      <c r="R127" s="157"/>
      <c r="S127" s="832"/>
    </row>
    <row r="128" spans="1:19" ht="21" customHeight="1">
      <c r="A128" s="157"/>
      <c r="B128" s="157" t="s">
        <v>562</v>
      </c>
      <c r="C128" s="165" t="s">
        <v>463</v>
      </c>
      <c r="D128" s="165" t="s">
        <v>465</v>
      </c>
      <c r="E128" s="165"/>
      <c r="F128" s="157"/>
      <c r="G128" s="836" t="s">
        <v>778</v>
      </c>
      <c r="H128" s="836"/>
      <c r="I128" s="836"/>
      <c r="J128" s="836"/>
      <c r="K128" s="836"/>
      <c r="L128" s="836"/>
      <c r="M128" s="836"/>
      <c r="N128" s="836"/>
      <c r="O128" s="836"/>
      <c r="P128" s="836"/>
      <c r="Q128" s="836"/>
      <c r="R128" s="836"/>
      <c r="S128" s="832"/>
    </row>
    <row r="129" spans="1:19" ht="21" customHeight="1">
      <c r="A129" s="157"/>
      <c r="B129" s="175" t="s">
        <v>788</v>
      </c>
      <c r="C129" s="176">
        <v>100000001</v>
      </c>
      <c r="D129" s="195">
        <v>20</v>
      </c>
      <c r="E129" s="198" t="s">
        <v>821</v>
      </c>
      <c r="F129" s="157"/>
      <c r="G129" s="172">
        <f>M127</f>
        <v>2250</v>
      </c>
      <c r="H129" s="165" t="s">
        <v>787</v>
      </c>
      <c r="I129" s="165">
        <f>D129</f>
        <v>20</v>
      </c>
      <c r="J129" s="157" t="s">
        <v>822</v>
      </c>
      <c r="K129" s="157"/>
      <c r="L129" s="157" t="s">
        <v>783</v>
      </c>
      <c r="M129" s="172">
        <f>C129</f>
        <v>100000001</v>
      </c>
      <c r="N129" s="157"/>
      <c r="O129" s="157" t="s">
        <v>784</v>
      </c>
      <c r="P129" s="157"/>
      <c r="Q129" s="199">
        <f>ROUND(G129*I129*100/M129,4)</f>
        <v>0.045</v>
      </c>
      <c r="R129" s="157"/>
      <c r="S129" s="832"/>
    </row>
    <row r="130" spans="1:19" ht="21" customHeight="1">
      <c r="A130" s="157"/>
      <c r="B130" s="157"/>
      <c r="C130" s="176">
        <v>150000000</v>
      </c>
      <c r="D130" s="195">
        <v>22</v>
      </c>
      <c r="E130" s="198" t="s">
        <v>821</v>
      </c>
      <c r="F130" s="157"/>
      <c r="G130" s="172">
        <f>M127</f>
        <v>2250</v>
      </c>
      <c r="H130" s="165" t="s">
        <v>787</v>
      </c>
      <c r="I130" s="165">
        <f>D130</f>
        <v>22</v>
      </c>
      <c r="J130" s="157" t="s">
        <v>822</v>
      </c>
      <c r="K130" s="157"/>
      <c r="L130" s="157" t="s">
        <v>783</v>
      </c>
      <c r="M130" s="172">
        <f>C130</f>
        <v>150000000</v>
      </c>
      <c r="N130" s="157"/>
      <c r="O130" s="157" t="s">
        <v>784</v>
      </c>
      <c r="P130" s="157"/>
      <c r="Q130" s="199">
        <f>ROUND(G130*I130*100/M130,4)</f>
        <v>0.033</v>
      </c>
      <c r="R130" s="157"/>
      <c r="S130" s="832"/>
    </row>
    <row r="131" spans="1:19" ht="21" customHeight="1">
      <c r="A131" s="157"/>
      <c r="B131" s="157"/>
      <c r="C131" s="176">
        <v>200000000</v>
      </c>
      <c r="D131" s="195">
        <v>24</v>
      </c>
      <c r="E131" s="198" t="s">
        <v>821</v>
      </c>
      <c r="F131" s="157"/>
      <c r="G131" s="172">
        <f>M127</f>
        <v>2250</v>
      </c>
      <c r="H131" s="165" t="s">
        <v>787</v>
      </c>
      <c r="I131" s="165">
        <f>D131</f>
        <v>24</v>
      </c>
      <c r="J131" s="157" t="s">
        <v>822</v>
      </c>
      <c r="K131" s="157"/>
      <c r="L131" s="157" t="s">
        <v>783</v>
      </c>
      <c r="M131" s="172">
        <f>C131</f>
        <v>200000000</v>
      </c>
      <c r="N131" s="157"/>
      <c r="O131" s="157" t="s">
        <v>784</v>
      </c>
      <c r="P131" s="157"/>
      <c r="Q131" s="199">
        <f>ROUND(G131*I131*100/M131,4)</f>
        <v>0.027</v>
      </c>
      <c r="R131" s="157"/>
      <c r="S131" s="832"/>
    </row>
    <row r="132" spans="1:19" ht="21" customHeight="1">
      <c r="A132" s="157"/>
      <c r="B132" s="157"/>
      <c r="C132" s="176">
        <v>250000000</v>
      </c>
      <c r="D132" s="195">
        <v>28</v>
      </c>
      <c r="E132" s="198" t="s">
        <v>821</v>
      </c>
      <c r="F132" s="157"/>
      <c r="G132" s="172">
        <f>M127</f>
        <v>2250</v>
      </c>
      <c r="H132" s="165" t="s">
        <v>787</v>
      </c>
      <c r="I132" s="165">
        <f>D132</f>
        <v>28</v>
      </c>
      <c r="J132" s="157" t="s">
        <v>822</v>
      </c>
      <c r="K132" s="157"/>
      <c r="L132" s="157" t="s">
        <v>783</v>
      </c>
      <c r="M132" s="172">
        <f>C132</f>
        <v>250000000</v>
      </c>
      <c r="N132" s="157"/>
      <c r="O132" s="157" t="s">
        <v>784</v>
      </c>
      <c r="P132" s="157"/>
      <c r="Q132" s="199">
        <f>ROUND(G132*I132*100/M132,4)</f>
        <v>0.0252</v>
      </c>
      <c r="R132" s="157"/>
      <c r="S132" s="832"/>
    </row>
    <row r="133" spans="1:19" ht="21" customHeight="1">
      <c r="A133" s="157"/>
      <c r="B133" s="157"/>
      <c r="C133" s="176">
        <v>300000000</v>
      </c>
      <c r="D133" s="195">
        <v>30</v>
      </c>
      <c r="E133" s="198" t="s">
        <v>821</v>
      </c>
      <c r="F133" s="157"/>
      <c r="G133" s="172">
        <f>M127</f>
        <v>2250</v>
      </c>
      <c r="H133" s="165" t="s">
        <v>787</v>
      </c>
      <c r="I133" s="165">
        <f>D133</f>
        <v>30</v>
      </c>
      <c r="J133" s="157" t="s">
        <v>822</v>
      </c>
      <c r="K133" s="157"/>
      <c r="L133" s="157" t="s">
        <v>783</v>
      </c>
      <c r="M133" s="172">
        <f>C133</f>
        <v>300000000</v>
      </c>
      <c r="N133" s="157"/>
      <c r="O133" s="157" t="s">
        <v>784</v>
      </c>
      <c r="P133" s="157"/>
      <c r="Q133" s="199">
        <f>ROUND(G133*I133*100/M133,4)</f>
        <v>0.0225</v>
      </c>
      <c r="R133" s="157"/>
      <c r="S133" s="832"/>
    </row>
    <row r="134" spans="1:19" ht="21" customHeight="1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200" t="s">
        <v>823</v>
      </c>
      <c r="N134" s="157"/>
      <c r="O134" s="157" t="s">
        <v>784</v>
      </c>
      <c r="P134" s="157"/>
      <c r="Q134" s="201">
        <f>ROUND((Q129+Q130+Q131+Q132+Q133)/5,4)</f>
        <v>0.0305</v>
      </c>
      <c r="R134" s="157"/>
      <c r="S134" s="832"/>
    </row>
    <row r="135" spans="1:19" ht="21" customHeight="1">
      <c r="A135" s="835" t="s">
        <v>841</v>
      </c>
      <c r="B135" s="835"/>
      <c r="C135" s="835"/>
      <c r="D135" s="835"/>
      <c r="E135" s="835"/>
      <c r="F135" s="835"/>
      <c r="G135" s="835"/>
      <c r="H135" s="835"/>
      <c r="I135" s="835"/>
      <c r="J135" s="835"/>
      <c r="K135" s="835"/>
      <c r="L135" s="835"/>
      <c r="M135" s="835"/>
      <c r="N135" s="835"/>
      <c r="O135" s="835"/>
      <c r="P135" s="835"/>
      <c r="Q135" s="835"/>
      <c r="R135" s="835"/>
      <c r="S135" s="832"/>
    </row>
    <row r="136" spans="1:19" ht="21" customHeight="1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832" t="s">
        <v>842</v>
      </c>
    </row>
    <row r="137" spans="1:19" ht="21" customHeight="1">
      <c r="A137" s="157"/>
      <c r="B137" s="165" t="s">
        <v>843</v>
      </c>
      <c r="C137" s="164" t="s">
        <v>470</v>
      </c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832"/>
    </row>
    <row r="138" spans="1:19" ht="21" customHeight="1">
      <c r="A138" s="157"/>
      <c r="B138" s="157"/>
      <c r="C138" s="157" t="s">
        <v>825</v>
      </c>
      <c r="D138" s="195">
        <v>1500</v>
      </c>
      <c r="E138" s="157" t="s">
        <v>816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832"/>
    </row>
    <row r="139" spans="1:19" ht="21" customHeight="1">
      <c r="A139" s="157"/>
      <c r="B139" s="157"/>
      <c r="C139" s="157" t="s">
        <v>826</v>
      </c>
      <c r="D139" s="195">
        <v>1500</v>
      </c>
      <c r="E139" s="157" t="s">
        <v>816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832"/>
    </row>
    <row r="140" spans="1:19" ht="21" customHeight="1">
      <c r="A140" s="157"/>
      <c r="B140" s="157"/>
      <c r="C140" s="157" t="s">
        <v>827</v>
      </c>
      <c r="D140" s="195">
        <v>1500</v>
      </c>
      <c r="E140" s="157" t="s">
        <v>816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832"/>
    </row>
    <row r="141" spans="1:19" ht="21" customHeight="1">
      <c r="A141" s="157"/>
      <c r="B141" s="157"/>
      <c r="C141" s="157" t="s">
        <v>828</v>
      </c>
      <c r="D141" s="195">
        <v>1500</v>
      </c>
      <c r="E141" s="157" t="s">
        <v>816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832"/>
    </row>
    <row r="142" spans="1:19" ht="21" customHeight="1">
      <c r="A142" s="157"/>
      <c r="B142" s="157"/>
      <c r="C142" s="157" t="s">
        <v>840</v>
      </c>
      <c r="D142" s="195">
        <v>1500</v>
      </c>
      <c r="E142" s="157" t="s">
        <v>816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832"/>
    </row>
    <row r="143" spans="1:19" ht="21" customHeight="1">
      <c r="A143" s="157"/>
      <c r="B143" s="157" t="s">
        <v>562</v>
      </c>
      <c r="C143" s="157" t="s">
        <v>818</v>
      </c>
      <c r="D143" s="196">
        <f>SUM(D138:D142)</f>
        <v>7500</v>
      </c>
      <c r="E143" s="157" t="s">
        <v>816</v>
      </c>
      <c r="F143" s="157"/>
      <c r="G143" s="157" t="s">
        <v>844</v>
      </c>
      <c r="H143" s="157"/>
      <c r="I143" s="157"/>
      <c r="J143" s="175" t="s">
        <v>789</v>
      </c>
      <c r="K143" s="157"/>
      <c r="L143" s="157"/>
      <c r="M143" s="197">
        <f>D143*40%</f>
        <v>3000</v>
      </c>
      <c r="N143" s="157" t="s">
        <v>820</v>
      </c>
      <c r="O143" s="157"/>
      <c r="P143" s="157"/>
      <c r="Q143" s="157"/>
      <c r="R143" s="157"/>
      <c r="S143" s="832"/>
    </row>
    <row r="144" spans="1:19" ht="21" customHeight="1">
      <c r="A144" s="157"/>
      <c r="B144" s="157" t="s">
        <v>562</v>
      </c>
      <c r="C144" s="165" t="s">
        <v>463</v>
      </c>
      <c r="D144" s="165" t="s">
        <v>465</v>
      </c>
      <c r="E144" s="165"/>
      <c r="F144" s="157"/>
      <c r="G144" s="836" t="s">
        <v>778</v>
      </c>
      <c r="H144" s="836"/>
      <c r="I144" s="836"/>
      <c r="J144" s="836"/>
      <c r="K144" s="836"/>
      <c r="L144" s="836"/>
      <c r="M144" s="836"/>
      <c r="N144" s="836"/>
      <c r="O144" s="836"/>
      <c r="P144" s="836"/>
      <c r="Q144" s="836"/>
      <c r="R144" s="836"/>
      <c r="S144" s="832"/>
    </row>
    <row r="145" spans="1:19" ht="21" customHeight="1">
      <c r="A145" s="157"/>
      <c r="B145" s="175" t="s">
        <v>788</v>
      </c>
      <c r="C145" s="176">
        <v>300000001</v>
      </c>
      <c r="D145" s="195">
        <v>30</v>
      </c>
      <c r="E145" s="198" t="s">
        <v>821</v>
      </c>
      <c r="F145" s="157"/>
      <c r="G145" s="172">
        <f>M143</f>
        <v>3000</v>
      </c>
      <c r="H145" s="165" t="s">
        <v>787</v>
      </c>
      <c r="I145" s="165">
        <f>D145</f>
        <v>30</v>
      </c>
      <c r="J145" s="157" t="s">
        <v>822</v>
      </c>
      <c r="K145" s="157"/>
      <c r="L145" s="157" t="s">
        <v>783</v>
      </c>
      <c r="M145" s="172">
        <f>C145</f>
        <v>300000001</v>
      </c>
      <c r="N145" s="157"/>
      <c r="O145" s="157" t="s">
        <v>784</v>
      </c>
      <c r="P145" s="157"/>
      <c r="Q145" s="199">
        <f>ROUND(G145*I145*100/M145,4)</f>
        <v>0.03</v>
      </c>
      <c r="R145" s="157"/>
      <c r="S145" s="832"/>
    </row>
    <row r="146" spans="1:19" ht="21" customHeight="1">
      <c r="A146" s="157"/>
      <c r="B146" s="157"/>
      <c r="C146" s="176">
        <v>350000000</v>
      </c>
      <c r="D146" s="195">
        <v>32</v>
      </c>
      <c r="E146" s="198" t="s">
        <v>821</v>
      </c>
      <c r="F146" s="157"/>
      <c r="G146" s="172">
        <f>M143</f>
        <v>3000</v>
      </c>
      <c r="H146" s="165" t="s">
        <v>787</v>
      </c>
      <c r="I146" s="165">
        <f>D146</f>
        <v>32</v>
      </c>
      <c r="J146" s="157" t="s">
        <v>822</v>
      </c>
      <c r="K146" s="157"/>
      <c r="L146" s="157" t="s">
        <v>783</v>
      </c>
      <c r="M146" s="172">
        <f>C146</f>
        <v>350000000</v>
      </c>
      <c r="N146" s="157"/>
      <c r="O146" s="157" t="s">
        <v>784</v>
      </c>
      <c r="P146" s="157"/>
      <c r="Q146" s="199">
        <f>ROUND(G146*I146*100/M146,4)</f>
        <v>0.0274</v>
      </c>
      <c r="R146" s="157"/>
      <c r="S146" s="832"/>
    </row>
    <row r="147" spans="1:19" ht="21" customHeight="1">
      <c r="A147" s="157"/>
      <c r="B147" s="157"/>
      <c r="C147" s="176">
        <v>400000000</v>
      </c>
      <c r="D147" s="195">
        <v>36</v>
      </c>
      <c r="E147" s="198" t="s">
        <v>821</v>
      </c>
      <c r="F147" s="157"/>
      <c r="G147" s="172">
        <f>M143</f>
        <v>3000</v>
      </c>
      <c r="H147" s="165" t="s">
        <v>787</v>
      </c>
      <c r="I147" s="165">
        <f>D147</f>
        <v>36</v>
      </c>
      <c r="J147" s="157" t="s">
        <v>822</v>
      </c>
      <c r="K147" s="157"/>
      <c r="L147" s="157" t="s">
        <v>783</v>
      </c>
      <c r="M147" s="172">
        <f>C147</f>
        <v>400000000</v>
      </c>
      <c r="N147" s="157"/>
      <c r="O147" s="157" t="s">
        <v>784</v>
      </c>
      <c r="P147" s="157"/>
      <c r="Q147" s="199">
        <f>ROUND(G147*I147*100/M147,4)</f>
        <v>0.027</v>
      </c>
      <c r="R147" s="157"/>
      <c r="S147" s="832"/>
    </row>
    <row r="148" spans="1:19" ht="21" customHeight="1">
      <c r="A148" s="157"/>
      <c r="B148" s="157"/>
      <c r="C148" s="176">
        <v>500000000</v>
      </c>
      <c r="D148" s="195">
        <v>36</v>
      </c>
      <c r="E148" s="198" t="s">
        <v>821</v>
      </c>
      <c r="F148" s="157"/>
      <c r="G148" s="172">
        <f>M143</f>
        <v>3000</v>
      </c>
      <c r="H148" s="165" t="s">
        <v>787</v>
      </c>
      <c r="I148" s="165">
        <f>D148</f>
        <v>36</v>
      </c>
      <c r="J148" s="157" t="s">
        <v>822</v>
      </c>
      <c r="K148" s="157"/>
      <c r="L148" s="157" t="s">
        <v>783</v>
      </c>
      <c r="M148" s="172">
        <f>C148</f>
        <v>500000000</v>
      </c>
      <c r="N148" s="157"/>
      <c r="O148" s="157" t="s">
        <v>784</v>
      </c>
      <c r="P148" s="157"/>
      <c r="Q148" s="199">
        <f>ROUND(G148*I148*100/M148,4)</f>
        <v>0.0216</v>
      </c>
      <c r="R148" s="157"/>
      <c r="S148" s="832"/>
    </row>
    <row r="149" spans="1:19" ht="21" customHeight="1">
      <c r="A149" s="157"/>
      <c r="B149" s="157"/>
      <c r="C149" s="176">
        <v>1000000000</v>
      </c>
      <c r="D149" s="195">
        <v>40</v>
      </c>
      <c r="E149" s="198" t="s">
        <v>821</v>
      </c>
      <c r="F149" s="157"/>
      <c r="G149" s="172">
        <f>M143</f>
        <v>3000</v>
      </c>
      <c r="H149" s="165" t="s">
        <v>787</v>
      </c>
      <c r="I149" s="165">
        <f>D149</f>
        <v>40</v>
      </c>
      <c r="J149" s="157" t="s">
        <v>822</v>
      </c>
      <c r="K149" s="157"/>
      <c r="L149" s="157" t="s">
        <v>783</v>
      </c>
      <c r="M149" s="172">
        <f>C149</f>
        <v>1000000000</v>
      </c>
      <c r="N149" s="157"/>
      <c r="O149" s="157" t="s">
        <v>784</v>
      </c>
      <c r="P149" s="157"/>
      <c r="Q149" s="199">
        <f>ROUND(G149*I149*100/M149,4)</f>
        <v>0.012</v>
      </c>
      <c r="R149" s="157"/>
      <c r="S149" s="832"/>
    </row>
    <row r="150" spans="1:19" ht="21" customHeight="1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200" t="s">
        <v>823</v>
      </c>
      <c r="N150" s="157"/>
      <c r="O150" s="157" t="s">
        <v>784</v>
      </c>
      <c r="P150" s="157"/>
      <c r="Q150" s="201">
        <f>ROUND((Q145+Q146+Q147+Q148+Q149)/5,4)</f>
        <v>0.0236</v>
      </c>
      <c r="R150" s="157"/>
      <c r="S150" s="832"/>
    </row>
    <row r="151" spans="1:19" ht="21" customHeight="1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832"/>
    </row>
    <row r="152" spans="1:19" ht="21" customHeight="1">
      <c r="A152" s="157"/>
      <c r="B152" s="202" t="s">
        <v>519</v>
      </c>
      <c r="C152" s="203" t="s">
        <v>845</v>
      </c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832"/>
    </row>
    <row r="153" spans="1:19" ht="21" customHeight="1">
      <c r="A153" s="157"/>
      <c r="B153" s="204"/>
      <c r="C153" s="843" t="s">
        <v>846</v>
      </c>
      <c r="D153" s="843"/>
      <c r="E153" s="843"/>
      <c r="F153" s="204"/>
      <c r="G153" s="843" t="s">
        <v>778</v>
      </c>
      <c r="H153" s="843"/>
      <c r="I153" s="843"/>
      <c r="J153" s="843"/>
      <c r="K153" s="843"/>
      <c r="L153" s="843"/>
      <c r="M153" s="843"/>
      <c r="N153" s="843"/>
      <c r="O153" s="843"/>
      <c r="P153" s="843"/>
      <c r="Q153" s="843"/>
      <c r="R153" s="843"/>
      <c r="S153" s="832"/>
    </row>
    <row r="154" spans="1:19" ht="21" customHeight="1">
      <c r="A154" s="157"/>
      <c r="B154" s="206" t="s">
        <v>788</v>
      </c>
      <c r="C154" s="207" t="s">
        <v>847</v>
      </c>
      <c r="D154" s="204"/>
      <c r="E154" s="204"/>
      <c r="F154" s="204"/>
      <c r="G154" s="204"/>
      <c r="H154" s="208"/>
      <c r="I154" s="208" t="s">
        <v>784</v>
      </c>
      <c r="J154" s="208"/>
      <c r="K154" s="208"/>
      <c r="L154" s="208"/>
      <c r="M154" s="179">
        <f>Q67</f>
        <v>0.3285</v>
      </c>
      <c r="N154" s="204"/>
      <c r="O154" s="204"/>
      <c r="P154" s="204"/>
      <c r="Q154" s="204"/>
      <c r="R154" s="204"/>
      <c r="S154" s="832"/>
    </row>
    <row r="155" spans="1:19" ht="21" customHeight="1">
      <c r="A155" s="157"/>
      <c r="B155" s="204"/>
      <c r="C155" s="207" t="s">
        <v>848</v>
      </c>
      <c r="D155" s="204"/>
      <c r="E155" s="204"/>
      <c r="F155" s="204"/>
      <c r="G155" s="204"/>
      <c r="H155" s="208"/>
      <c r="I155" s="208" t="s">
        <v>784</v>
      </c>
      <c r="J155" s="208"/>
      <c r="K155" s="208"/>
      <c r="L155" s="208"/>
      <c r="M155" s="179">
        <f>Q80</f>
        <v>0.0811</v>
      </c>
      <c r="N155" s="204"/>
      <c r="O155" s="204"/>
      <c r="P155" s="204"/>
      <c r="Q155" s="204"/>
      <c r="R155" s="204"/>
      <c r="S155" s="832"/>
    </row>
    <row r="156" spans="1:19" ht="21" customHeight="1">
      <c r="A156" s="157"/>
      <c r="B156" s="204"/>
      <c r="C156" s="207" t="s">
        <v>849</v>
      </c>
      <c r="D156" s="204"/>
      <c r="E156" s="204"/>
      <c r="F156" s="204"/>
      <c r="G156" s="204"/>
      <c r="H156" s="208"/>
      <c r="I156" s="208" t="s">
        <v>784</v>
      </c>
      <c r="J156" s="208"/>
      <c r="K156" s="208"/>
      <c r="L156" s="208"/>
      <c r="M156" s="179">
        <f>Q93</f>
        <v>0.0507</v>
      </c>
      <c r="N156" s="204"/>
      <c r="O156" s="204"/>
      <c r="P156" s="204"/>
      <c r="Q156" s="204"/>
      <c r="R156" s="204"/>
      <c r="S156" s="832"/>
    </row>
    <row r="157" spans="1:19" ht="21" customHeight="1">
      <c r="A157" s="157"/>
      <c r="B157" s="204"/>
      <c r="C157" s="207" t="s">
        <v>850</v>
      </c>
      <c r="D157" s="204"/>
      <c r="E157" s="204"/>
      <c r="F157" s="204"/>
      <c r="G157" s="204"/>
      <c r="H157" s="208"/>
      <c r="I157" s="208" t="s">
        <v>784</v>
      </c>
      <c r="J157" s="208"/>
      <c r="K157" s="208"/>
      <c r="L157" s="208"/>
      <c r="M157" s="179">
        <f>Q105</f>
        <v>0.0418</v>
      </c>
      <c r="N157" s="204"/>
      <c r="O157" s="204"/>
      <c r="P157" s="204"/>
      <c r="Q157" s="204"/>
      <c r="R157" s="204"/>
      <c r="S157" s="832"/>
    </row>
    <row r="158" spans="1:19" ht="21" customHeight="1">
      <c r="A158" s="157"/>
      <c r="B158" s="204"/>
      <c r="C158" s="207" t="s">
        <v>0</v>
      </c>
      <c r="D158" s="204"/>
      <c r="E158" s="204"/>
      <c r="F158" s="204"/>
      <c r="G158" s="204"/>
      <c r="H158" s="208"/>
      <c r="I158" s="208" t="s">
        <v>784</v>
      </c>
      <c r="J158" s="208"/>
      <c r="K158" s="208"/>
      <c r="L158" s="208"/>
      <c r="M158" s="179">
        <f>Q120</f>
        <v>0.0403</v>
      </c>
      <c r="N158" s="204"/>
      <c r="O158" s="204"/>
      <c r="P158" s="204"/>
      <c r="Q158" s="204"/>
      <c r="R158" s="204"/>
      <c r="S158" s="832"/>
    </row>
    <row r="159" spans="1:19" ht="21" customHeight="1">
      <c r="A159" s="157"/>
      <c r="B159" s="204"/>
      <c r="C159" s="207" t="s">
        <v>1</v>
      </c>
      <c r="D159" s="204"/>
      <c r="E159" s="204"/>
      <c r="F159" s="204"/>
      <c r="G159" s="204"/>
      <c r="H159" s="208"/>
      <c r="I159" s="208" t="s">
        <v>784</v>
      </c>
      <c r="J159" s="208"/>
      <c r="K159" s="208"/>
      <c r="L159" s="208"/>
      <c r="M159" s="179">
        <f>Q134</f>
        <v>0.0305</v>
      </c>
      <c r="N159" s="204"/>
      <c r="O159" s="204"/>
      <c r="P159" s="204"/>
      <c r="Q159" s="204"/>
      <c r="R159" s="204"/>
      <c r="S159" s="832"/>
    </row>
    <row r="160" spans="1:19" ht="21" customHeight="1">
      <c r="A160" s="157"/>
      <c r="B160" s="204"/>
      <c r="C160" s="207" t="s">
        <v>2</v>
      </c>
      <c r="D160" s="204"/>
      <c r="E160" s="204"/>
      <c r="F160" s="204"/>
      <c r="G160" s="204"/>
      <c r="H160" s="208"/>
      <c r="I160" s="208" t="s">
        <v>784</v>
      </c>
      <c r="J160" s="208"/>
      <c r="K160" s="208"/>
      <c r="L160" s="208"/>
      <c r="M160" s="179">
        <f>Q150</f>
        <v>0.0236</v>
      </c>
      <c r="N160" s="204"/>
      <c r="O160" s="204"/>
      <c r="P160" s="204"/>
      <c r="Q160" s="204"/>
      <c r="R160" s="204"/>
      <c r="S160" s="832"/>
    </row>
    <row r="161" spans="1:19" ht="21" customHeight="1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832"/>
    </row>
    <row r="162" spans="1:19" ht="21" customHeight="1">
      <c r="A162" s="835" t="s">
        <v>3</v>
      </c>
      <c r="B162" s="835"/>
      <c r="C162" s="835"/>
      <c r="D162" s="835"/>
      <c r="E162" s="835"/>
      <c r="F162" s="835"/>
      <c r="G162" s="835"/>
      <c r="H162" s="835"/>
      <c r="I162" s="835"/>
      <c r="J162" s="835"/>
      <c r="K162" s="835"/>
      <c r="L162" s="835"/>
      <c r="M162" s="835"/>
      <c r="N162" s="835"/>
      <c r="O162" s="835"/>
      <c r="P162" s="835"/>
      <c r="Q162" s="835"/>
      <c r="R162" s="835"/>
      <c r="S162" s="832"/>
    </row>
    <row r="163" spans="1:19" ht="21" customHeight="1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832" t="s">
        <v>4</v>
      </c>
    </row>
    <row r="164" spans="1:19" ht="21" customHeight="1">
      <c r="A164" s="157"/>
      <c r="B164" s="162" t="s">
        <v>5</v>
      </c>
      <c r="C164" s="162" t="s">
        <v>6</v>
      </c>
      <c r="D164" s="163"/>
      <c r="E164" s="163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833"/>
    </row>
    <row r="165" spans="1:19" ht="21" customHeight="1">
      <c r="A165" s="157"/>
      <c r="B165" s="157"/>
      <c r="C165" s="157" t="s">
        <v>471</v>
      </c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833"/>
    </row>
    <row r="166" spans="1:19" ht="21" customHeight="1">
      <c r="A166" s="157"/>
      <c r="B166" s="157"/>
      <c r="C166" s="157">
        <v>1.1</v>
      </c>
      <c r="D166" s="157" t="s">
        <v>7</v>
      </c>
      <c r="E166" s="157"/>
      <c r="F166" s="157"/>
      <c r="G166" s="157"/>
      <c r="H166" s="157"/>
      <c r="I166" s="157"/>
      <c r="J166" s="157">
        <v>1.2</v>
      </c>
      <c r="K166" s="157" t="s">
        <v>8</v>
      </c>
      <c r="L166" s="157"/>
      <c r="M166" s="157"/>
      <c r="N166" s="157"/>
      <c r="O166" s="157"/>
      <c r="P166" s="157"/>
      <c r="Q166" s="157"/>
      <c r="R166" s="157"/>
      <c r="S166" s="833"/>
    </row>
    <row r="167" spans="1:19" ht="21" customHeight="1">
      <c r="A167" s="157"/>
      <c r="B167" s="157"/>
      <c r="C167" s="157"/>
      <c r="D167" s="157" t="s">
        <v>9</v>
      </c>
      <c r="E167" s="157"/>
      <c r="F167" s="157"/>
      <c r="G167" s="157"/>
      <c r="H167" s="157"/>
      <c r="I167" s="157"/>
      <c r="J167" s="157"/>
      <c r="K167" s="157" t="s">
        <v>10</v>
      </c>
      <c r="L167" s="157"/>
      <c r="M167" s="157"/>
      <c r="N167" s="157"/>
      <c r="O167" s="157"/>
      <c r="P167" s="157"/>
      <c r="Q167" s="157"/>
      <c r="R167" s="157"/>
      <c r="S167" s="833"/>
    </row>
    <row r="168" spans="1:19" ht="21" customHeight="1">
      <c r="A168" s="157"/>
      <c r="B168" s="157"/>
      <c r="C168" s="157"/>
      <c r="D168" s="157" t="s">
        <v>11</v>
      </c>
      <c r="E168" s="157"/>
      <c r="F168" s="157"/>
      <c r="G168" s="157"/>
      <c r="H168" s="157"/>
      <c r="I168" s="157"/>
      <c r="J168" s="157"/>
      <c r="K168" s="157" t="s">
        <v>12</v>
      </c>
      <c r="L168" s="157"/>
      <c r="M168" s="157"/>
      <c r="N168" s="157"/>
      <c r="O168" s="157"/>
      <c r="P168" s="157"/>
      <c r="Q168" s="157"/>
      <c r="R168" s="157"/>
      <c r="S168" s="833"/>
    </row>
    <row r="169" spans="1:19" ht="21" customHeight="1">
      <c r="A169" s="157"/>
      <c r="B169" s="157"/>
      <c r="C169" s="157"/>
      <c r="D169" s="157" t="s">
        <v>13</v>
      </c>
      <c r="E169" s="157"/>
      <c r="F169" s="157"/>
      <c r="G169" s="157"/>
      <c r="H169" s="157"/>
      <c r="I169" s="157"/>
      <c r="J169" s="157"/>
      <c r="K169" s="157" t="s">
        <v>14</v>
      </c>
      <c r="L169" s="157"/>
      <c r="M169" s="157"/>
      <c r="N169" s="157"/>
      <c r="O169" s="157"/>
      <c r="P169" s="157"/>
      <c r="Q169" s="157"/>
      <c r="R169" s="157"/>
      <c r="S169" s="833"/>
    </row>
    <row r="170" spans="1:19" ht="21" customHeight="1">
      <c r="A170" s="157"/>
      <c r="B170" s="157"/>
      <c r="C170" s="157"/>
      <c r="D170" s="157" t="s">
        <v>15</v>
      </c>
      <c r="E170" s="157"/>
      <c r="F170" s="157"/>
      <c r="G170" s="157"/>
      <c r="H170" s="157"/>
      <c r="I170" s="157"/>
      <c r="J170" s="157"/>
      <c r="K170" s="157" t="s">
        <v>16</v>
      </c>
      <c r="L170" s="157"/>
      <c r="M170" s="157"/>
      <c r="N170" s="157"/>
      <c r="O170" s="157"/>
      <c r="P170" s="157"/>
      <c r="Q170" s="157"/>
      <c r="R170" s="157"/>
      <c r="S170" s="833"/>
    </row>
    <row r="171" spans="1:19" ht="21" customHeight="1">
      <c r="A171" s="157"/>
      <c r="B171" s="157"/>
      <c r="C171" s="157"/>
      <c r="D171" s="157" t="s">
        <v>17</v>
      </c>
      <c r="E171" s="157"/>
      <c r="F171" s="157"/>
      <c r="G171" s="157"/>
      <c r="H171" s="157"/>
      <c r="I171" s="157"/>
      <c r="J171" s="157"/>
      <c r="K171" s="157" t="s">
        <v>18</v>
      </c>
      <c r="L171" s="157"/>
      <c r="M171" s="157"/>
      <c r="N171" s="157"/>
      <c r="O171" s="157"/>
      <c r="P171" s="157"/>
      <c r="Q171" s="157"/>
      <c r="R171" s="157"/>
      <c r="S171" s="833"/>
    </row>
    <row r="172" spans="1:19" ht="21" customHeight="1">
      <c r="A172" s="157"/>
      <c r="B172" s="157"/>
      <c r="C172" s="157" t="s">
        <v>19</v>
      </c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833"/>
    </row>
    <row r="173" spans="1:19" ht="21" customHeight="1">
      <c r="A173" s="157"/>
      <c r="B173" s="157"/>
      <c r="C173" s="157"/>
      <c r="D173" s="157" t="s">
        <v>20</v>
      </c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833"/>
    </row>
    <row r="174" spans="1:19" ht="21" customHeight="1">
      <c r="A174" s="157"/>
      <c r="B174" s="157"/>
      <c r="C174" s="157"/>
      <c r="D174" s="157" t="s">
        <v>21</v>
      </c>
      <c r="E174" s="157"/>
      <c r="F174" s="157"/>
      <c r="G174" s="157" t="s">
        <v>22</v>
      </c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833"/>
    </row>
    <row r="175" spans="1:19" ht="21" customHeight="1">
      <c r="A175" s="157"/>
      <c r="B175" s="157"/>
      <c r="C175" s="157"/>
      <c r="D175" s="157" t="s">
        <v>23</v>
      </c>
      <c r="E175" s="157"/>
      <c r="F175" s="157"/>
      <c r="G175" s="157" t="s">
        <v>24</v>
      </c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833"/>
    </row>
    <row r="176" spans="1:19" ht="21" customHeight="1">
      <c r="A176" s="157"/>
      <c r="B176" s="157"/>
      <c r="C176" s="157"/>
      <c r="D176" s="157" t="s">
        <v>25</v>
      </c>
      <c r="E176" s="157"/>
      <c r="F176" s="157"/>
      <c r="G176" s="157" t="s">
        <v>26</v>
      </c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833"/>
    </row>
    <row r="177" spans="1:19" ht="21" customHeight="1">
      <c r="A177" s="157"/>
      <c r="B177" s="157"/>
      <c r="C177" s="157" t="s">
        <v>27</v>
      </c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833"/>
    </row>
    <row r="178" spans="1:19" ht="21" customHeight="1">
      <c r="A178" s="157"/>
      <c r="B178" s="157"/>
      <c r="C178" s="157" t="s">
        <v>28</v>
      </c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833"/>
    </row>
    <row r="179" spans="1:19" ht="21" customHeight="1">
      <c r="A179" s="157"/>
      <c r="B179" s="157"/>
      <c r="C179" s="210" t="s">
        <v>29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833"/>
    </row>
    <row r="180" spans="1:19" ht="21" customHeight="1">
      <c r="A180" s="157"/>
      <c r="B180" s="157"/>
      <c r="C180" s="157"/>
      <c r="D180" s="157" t="s">
        <v>30</v>
      </c>
      <c r="E180" s="157" t="s">
        <v>31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833"/>
    </row>
    <row r="181" spans="1:19" ht="21" customHeight="1">
      <c r="A181" s="157"/>
      <c r="B181" s="157"/>
      <c r="C181" s="157"/>
      <c r="D181" s="157" t="s">
        <v>32</v>
      </c>
      <c r="E181" s="157" t="s">
        <v>33</v>
      </c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833"/>
    </row>
    <row r="182" spans="1:19" ht="21" customHeight="1">
      <c r="A182" s="157"/>
      <c r="B182" s="157"/>
      <c r="C182" s="157"/>
      <c r="D182" s="157" t="s">
        <v>34</v>
      </c>
      <c r="E182" s="157" t="s">
        <v>35</v>
      </c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833"/>
    </row>
    <row r="183" spans="1:19" ht="21" customHeight="1">
      <c r="A183" s="157"/>
      <c r="B183" s="157"/>
      <c r="C183" s="157"/>
      <c r="D183" s="157" t="s">
        <v>36</v>
      </c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833"/>
    </row>
    <row r="184" spans="1:19" ht="21" customHeight="1">
      <c r="A184" s="157"/>
      <c r="B184" s="157"/>
      <c r="C184" s="211" t="s">
        <v>737</v>
      </c>
      <c r="D184" s="157" t="s">
        <v>37</v>
      </c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833"/>
    </row>
    <row r="185" spans="1:19" ht="21" customHeight="1">
      <c r="A185" s="157"/>
      <c r="B185" s="157"/>
      <c r="C185" s="157"/>
      <c r="D185" s="157" t="s">
        <v>38</v>
      </c>
      <c r="E185" s="157" t="s">
        <v>39</v>
      </c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833"/>
    </row>
    <row r="186" spans="1:19" ht="21" customHeight="1">
      <c r="A186" s="157"/>
      <c r="B186" s="157"/>
      <c r="C186" s="157"/>
      <c r="D186" s="157" t="s">
        <v>40</v>
      </c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833"/>
    </row>
    <row r="187" spans="1:19" ht="21" customHeight="1">
      <c r="A187" s="157"/>
      <c r="B187" s="157"/>
      <c r="C187" s="157"/>
      <c r="D187" s="157" t="s">
        <v>38</v>
      </c>
      <c r="E187" s="157" t="s">
        <v>41</v>
      </c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833"/>
    </row>
    <row r="188" spans="1:19" ht="21" customHeight="1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833"/>
    </row>
    <row r="189" spans="1:19" ht="21" customHeight="1">
      <c r="A189" s="835" t="s">
        <v>42</v>
      </c>
      <c r="B189" s="835"/>
      <c r="C189" s="835"/>
      <c r="D189" s="835"/>
      <c r="E189" s="835"/>
      <c r="F189" s="835"/>
      <c r="G189" s="835"/>
      <c r="H189" s="835"/>
      <c r="I189" s="835"/>
      <c r="J189" s="835"/>
      <c r="K189" s="835"/>
      <c r="L189" s="835"/>
      <c r="M189" s="835"/>
      <c r="N189" s="835"/>
      <c r="O189" s="835"/>
      <c r="P189" s="835"/>
      <c r="Q189" s="835"/>
      <c r="R189" s="835"/>
      <c r="S189" s="833"/>
    </row>
    <row r="190" spans="1:19" ht="21" customHeight="1">
      <c r="A190" s="157"/>
      <c r="B190" s="165" t="s">
        <v>43</v>
      </c>
      <c r="C190" s="210" t="s">
        <v>44</v>
      </c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832" t="s">
        <v>45</v>
      </c>
    </row>
    <row r="191" spans="1:19" ht="21" customHeight="1">
      <c r="A191" s="157"/>
      <c r="B191" s="175" t="s">
        <v>46</v>
      </c>
      <c r="C191" s="212" t="s">
        <v>47</v>
      </c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833"/>
    </row>
    <row r="192" spans="1:19" ht="21" customHeight="1">
      <c r="A192" s="157"/>
      <c r="B192" s="157"/>
      <c r="C192" s="157" t="s">
        <v>48</v>
      </c>
      <c r="D192" s="157"/>
      <c r="E192" s="213">
        <v>106</v>
      </c>
      <c r="F192" s="157"/>
      <c r="G192" s="157" t="s">
        <v>49</v>
      </c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833"/>
    </row>
    <row r="193" spans="1:19" ht="21" customHeight="1">
      <c r="A193" s="157"/>
      <c r="B193" s="157"/>
      <c r="C193" s="157" t="s">
        <v>50</v>
      </c>
      <c r="D193" s="157"/>
      <c r="E193" s="214">
        <v>172.6</v>
      </c>
      <c r="F193" s="157"/>
      <c r="G193" s="157" t="s">
        <v>51</v>
      </c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833"/>
    </row>
    <row r="194" spans="1:19" ht="21" customHeight="1">
      <c r="A194" s="157"/>
      <c r="B194" s="157"/>
      <c r="C194" s="157" t="s">
        <v>52</v>
      </c>
      <c r="D194" s="157"/>
      <c r="E194" s="214">
        <v>10.35</v>
      </c>
      <c r="F194" s="157"/>
      <c r="G194" s="157" t="s">
        <v>53</v>
      </c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833"/>
    </row>
    <row r="195" spans="1:19" ht="21" customHeight="1">
      <c r="A195" s="157"/>
      <c r="B195" s="157"/>
      <c r="C195" s="157" t="s">
        <v>54</v>
      </c>
      <c r="D195" s="157"/>
      <c r="E195" s="214">
        <f>E194</f>
        <v>10.35</v>
      </c>
      <c r="F195" s="157"/>
      <c r="G195" s="157" t="s">
        <v>58</v>
      </c>
      <c r="H195" s="157"/>
      <c r="I195" s="157"/>
      <c r="J195" s="215">
        <f>E193</f>
        <v>172.6</v>
      </c>
      <c r="K195" s="157"/>
      <c r="L195" s="157" t="s">
        <v>59</v>
      </c>
      <c r="M195" s="157" t="s">
        <v>60</v>
      </c>
      <c r="N195" s="157"/>
      <c r="O195" s="157"/>
      <c r="P195" s="157"/>
      <c r="Q195" s="215">
        <f>E192</f>
        <v>106</v>
      </c>
      <c r="R195" s="157" t="s">
        <v>61</v>
      </c>
      <c r="S195" s="833"/>
    </row>
    <row r="196" spans="1:19" ht="21" customHeight="1">
      <c r="A196" s="157"/>
      <c r="B196" s="157"/>
      <c r="C196" s="157" t="s">
        <v>62</v>
      </c>
      <c r="D196" s="157"/>
      <c r="E196" s="216">
        <f>ROUND(E194*100*5*E193/E192/100/100,4)</f>
        <v>0.8426</v>
      </c>
      <c r="F196" s="157"/>
      <c r="G196" s="157" t="s">
        <v>53</v>
      </c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833"/>
    </row>
    <row r="197" spans="1:19" ht="21" customHeight="1">
      <c r="A197" s="157"/>
      <c r="B197" s="175" t="s">
        <v>46</v>
      </c>
      <c r="C197" s="212" t="s">
        <v>63</v>
      </c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833"/>
    </row>
    <row r="198" spans="1:19" ht="21" customHeight="1">
      <c r="A198" s="157"/>
      <c r="B198" s="157"/>
      <c r="C198" s="157" t="s">
        <v>64</v>
      </c>
      <c r="D198" s="157"/>
      <c r="E198" s="176">
        <v>1450</v>
      </c>
      <c r="F198" s="157"/>
      <c r="G198" s="157" t="s">
        <v>65</v>
      </c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833"/>
    </row>
    <row r="199" spans="1:19" ht="21" customHeight="1">
      <c r="A199" s="157"/>
      <c r="B199" s="157"/>
      <c r="C199" s="157" t="s">
        <v>50</v>
      </c>
      <c r="D199" s="157"/>
      <c r="E199" s="176">
        <v>52</v>
      </c>
      <c r="F199" s="157"/>
      <c r="G199" s="157" t="s">
        <v>51</v>
      </c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833"/>
    </row>
    <row r="200" spans="1:19" ht="21" customHeight="1">
      <c r="A200" s="157"/>
      <c r="B200" s="157"/>
      <c r="C200" s="157" t="s">
        <v>66</v>
      </c>
      <c r="D200" s="157"/>
      <c r="E200" s="214">
        <v>6.83</v>
      </c>
      <c r="F200" s="157"/>
      <c r="G200" s="157" t="s">
        <v>53</v>
      </c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833"/>
    </row>
    <row r="201" spans="1:19" ht="21" customHeight="1">
      <c r="A201" s="157"/>
      <c r="B201" s="157"/>
      <c r="C201" s="157" t="s">
        <v>67</v>
      </c>
      <c r="D201" s="157"/>
      <c r="E201" s="214">
        <f>E200</f>
        <v>6.83</v>
      </c>
      <c r="F201" s="157"/>
      <c r="G201" s="157" t="s">
        <v>68</v>
      </c>
      <c r="H201" s="157"/>
      <c r="I201" s="157"/>
      <c r="J201" s="215">
        <f>E199</f>
        <v>52</v>
      </c>
      <c r="K201" s="157"/>
      <c r="L201" s="157" t="s">
        <v>59</v>
      </c>
      <c r="M201" s="157" t="s">
        <v>69</v>
      </c>
      <c r="N201" s="157"/>
      <c r="O201" s="157"/>
      <c r="P201" s="157"/>
      <c r="Q201" s="214">
        <f>E198</f>
        <v>1450</v>
      </c>
      <c r="R201" s="157" t="s">
        <v>61</v>
      </c>
      <c r="S201" s="833"/>
    </row>
    <row r="202" spans="1:19" ht="21" customHeight="1">
      <c r="A202" s="157"/>
      <c r="B202" s="157"/>
      <c r="C202" s="157" t="s">
        <v>70</v>
      </c>
      <c r="D202" s="157"/>
      <c r="E202" s="199">
        <f>ROUND(E200*100*3*E199/E198/100/50,4)</f>
        <v>0.0147</v>
      </c>
      <c r="F202" s="157"/>
      <c r="G202" s="157" t="s">
        <v>53</v>
      </c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833"/>
    </row>
    <row r="203" spans="1:19" ht="21" customHeight="1">
      <c r="A203" s="157"/>
      <c r="B203" s="157"/>
      <c r="C203" s="212" t="s">
        <v>71</v>
      </c>
      <c r="D203" s="212"/>
      <c r="E203" s="217">
        <f>E196+E202</f>
        <v>0.8573000000000001</v>
      </c>
      <c r="F203" s="212"/>
      <c r="G203" s="212" t="s">
        <v>53</v>
      </c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833"/>
    </row>
    <row r="204" spans="1:19" ht="21" customHeight="1">
      <c r="A204" s="157" t="s">
        <v>562</v>
      </c>
      <c r="B204" s="157" t="s">
        <v>562</v>
      </c>
      <c r="C204" s="212" t="s">
        <v>562</v>
      </c>
      <c r="D204" s="212" t="s">
        <v>562</v>
      </c>
      <c r="E204" s="212" t="s">
        <v>562</v>
      </c>
      <c r="F204" s="212" t="s">
        <v>562</v>
      </c>
      <c r="G204" s="212" t="s">
        <v>562</v>
      </c>
      <c r="H204" s="157" t="s">
        <v>562</v>
      </c>
      <c r="I204" s="157" t="s">
        <v>562</v>
      </c>
      <c r="J204" s="157" t="s">
        <v>562</v>
      </c>
      <c r="K204" s="157" t="s">
        <v>562</v>
      </c>
      <c r="L204" s="157" t="s">
        <v>562</v>
      </c>
      <c r="M204" s="157" t="s">
        <v>562</v>
      </c>
      <c r="N204" s="157" t="s">
        <v>562</v>
      </c>
      <c r="O204" s="157" t="s">
        <v>562</v>
      </c>
      <c r="P204" s="157"/>
      <c r="Q204" s="157"/>
      <c r="R204" s="157"/>
      <c r="S204" s="833"/>
    </row>
    <row r="205" spans="1:19" ht="21" customHeight="1">
      <c r="A205" s="157"/>
      <c r="B205" s="165" t="s">
        <v>72</v>
      </c>
      <c r="C205" s="210" t="s">
        <v>73</v>
      </c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833"/>
    </row>
    <row r="206" spans="1:19" ht="21" customHeight="1">
      <c r="A206" s="157"/>
      <c r="B206" s="175" t="s">
        <v>46</v>
      </c>
      <c r="C206" s="212" t="s">
        <v>47</v>
      </c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833"/>
    </row>
    <row r="207" spans="1:19" ht="21" customHeight="1">
      <c r="A207" s="157"/>
      <c r="B207" s="157"/>
      <c r="C207" s="157" t="s">
        <v>74</v>
      </c>
      <c r="D207" s="157"/>
      <c r="E207" s="213">
        <v>180</v>
      </c>
      <c r="F207" s="157"/>
      <c r="G207" s="157" t="s">
        <v>49</v>
      </c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833"/>
    </row>
    <row r="208" spans="1:19" ht="21" customHeight="1">
      <c r="A208" s="157"/>
      <c r="B208" s="157"/>
      <c r="C208" s="157" t="s">
        <v>50</v>
      </c>
      <c r="D208" s="157"/>
      <c r="E208" s="214">
        <v>212</v>
      </c>
      <c r="F208" s="157"/>
      <c r="G208" s="157" t="s">
        <v>51</v>
      </c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833"/>
    </row>
    <row r="209" spans="1:19" ht="21" customHeight="1">
      <c r="A209" s="157"/>
      <c r="B209" s="157"/>
      <c r="C209" s="157" t="s">
        <v>52</v>
      </c>
      <c r="D209" s="157"/>
      <c r="E209" s="214">
        <v>10.35</v>
      </c>
      <c r="F209" s="157"/>
      <c r="G209" s="157" t="s">
        <v>53</v>
      </c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833"/>
    </row>
    <row r="210" spans="1:19" ht="21" customHeight="1">
      <c r="A210" s="157"/>
      <c r="B210" s="157"/>
      <c r="C210" s="157" t="s">
        <v>54</v>
      </c>
      <c r="D210" s="157"/>
      <c r="E210" s="214">
        <f>E209</f>
        <v>10.35</v>
      </c>
      <c r="F210" s="157"/>
      <c r="G210" s="157" t="s">
        <v>58</v>
      </c>
      <c r="H210" s="157"/>
      <c r="I210" s="157"/>
      <c r="J210" s="215">
        <f>E208</f>
        <v>212</v>
      </c>
      <c r="K210" s="157"/>
      <c r="L210" s="157" t="s">
        <v>59</v>
      </c>
      <c r="M210" s="157" t="s">
        <v>60</v>
      </c>
      <c r="N210" s="157"/>
      <c r="O210" s="157"/>
      <c r="P210" s="157"/>
      <c r="Q210" s="215">
        <f>E207</f>
        <v>180</v>
      </c>
      <c r="R210" s="157" t="s">
        <v>61</v>
      </c>
      <c r="S210" s="833"/>
    </row>
    <row r="211" spans="1:19" ht="21" customHeight="1">
      <c r="A211" s="157"/>
      <c r="B211" s="157"/>
      <c r="C211" s="157" t="s">
        <v>70</v>
      </c>
      <c r="D211" s="157"/>
      <c r="E211" s="199">
        <f>ROUND(E209*100*5*E208/E207/100/100,4)</f>
        <v>0.6095</v>
      </c>
      <c r="F211" s="157"/>
      <c r="G211" s="157" t="s">
        <v>53</v>
      </c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833"/>
    </row>
    <row r="212" spans="1:19" ht="21" customHeight="1">
      <c r="A212" s="157"/>
      <c r="B212" s="175" t="s">
        <v>46</v>
      </c>
      <c r="C212" s="212" t="s">
        <v>63</v>
      </c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833"/>
    </row>
    <row r="213" spans="1:19" ht="21" customHeight="1">
      <c r="A213" s="157"/>
      <c r="B213" s="157"/>
      <c r="C213" s="157" t="s">
        <v>64</v>
      </c>
      <c r="D213" s="157"/>
      <c r="E213" s="176">
        <v>1450</v>
      </c>
      <c r="F213" s="157"/>
      <c r="G213" s="157" t="s">
        <v>65</v>
      </c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833"/>
    </row>
    <row r="214" spans="1:19" ht="21" customHeight="1">
      <c r="A214" s="157"/>
      <c r="B214" s="157"/>
      <c r="C214" s="157" t="s">
        <v>50</v>
      </c>
      <c r="D214" s="157"/>
      <c r="E214" s="176">
        <v>52</v>
      </c>
      <c r="F214" s="157"/>
      <c r="G214" s="157" t="s">
        <v>51</v>
      </c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833"/>
    </row>
    <row r="215" spans="1:19" ht="21" customHeight="1">
      <c r="A215" s="157"/>
      <c r="B215" s="157"/>
      <c r="C215" s="157" t="s">
        <v>75</v>
      </c>
      <c r="D215" s="157"/>
      <c r="E215" s="214">
        <v>6.83</v>
      </c>
      <c r="F215" s="157"/>
      <c r="G215" s="157" t="s">
        <v>53</v>
      </c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833"/>
    </row>
    <row r="216" spans="1:19" ht="21" customHeight="1">
      <c r="A216" s="835" t="s">
        <v>76</v>
      </c>
      <c r="B216" s="835"/>
      <c r="C216" s="835"/>
      <c r="D216" s="835"/>
      <c r="E216" s="835"/>
      <c r="F216" s="835"/>
      <c r="G216" s="835"/>
      <c r="H216" s="835"/>
      <c r="I216" s="835"/>
      <c r="J216" s="835"/>
      <c r="K216" s="835"/>
      <c r="L216" s="835"/>
      <c r="M216" s="835"/>
      <c r="N216" s="835"/>
      <c r="O216" s="835"/>
      <c r="P216" s="835"/>
      <c r="Q216" s="835"/>
      <c r="R216" s="835"/>
      <c r="S216" s="833"/>
    </row>
    <row r="217" spans="1:19" ht="21" customHeight="1">
      <c r="A217" s="157"/>
      <c r="B217" s="157"/>
      <c r="C217" s="157" t="s">
        <v>67</v>
      </c>
      <c r="D217" s="157"/>
      <c r="E217" s="213">
        <f>E215</f>
        <v>6.83</v>
      </c>
      <c r="F217" s="157"/>
      <c r="G217" s="157" t="s">
        <v>68</v>
      </c>
      <c r="H217" s="157"/>
      <c r="I217" s="157"/>
      <c r="J217" s="215">
        <f>E214</f>
        <v>52</v>
      </c>
      <c r="K217" s="157"/>
      <c r="L217" s="157" t="s">
        <v>59</v>
      </c>
      <c r="M217" s="157" t="s">
        <v>69</v>
      </c>
      <c r="N217" s="157"/>
      <c r="O217" s="157"/>
      <c r="P217" s="157"/>
      <c r="Q217" s="176">
        <f>E213</f>
        <v>1450</v>
      </c>
      <c r="R217" s="157" t="s">
        <v>61</v>
      </c>
      <c r="S217" s="832" t="s">
        <v>77</v>
      </c>
    </row>
    <row r="218" spans="1:19" ht="21" customHeight="1">
      <c r="A218" s="157"/>
      <c r="B218" s="157"/>
      <c r="C218" s="157" t="s">
        <v>70</v>
      </c>
      <c r="D218" s="157"/>
      <c r="E218" s="199">
        <f>ROUND(E215*100*3*E214/E213/100/50,4)</f>
        <v>0.0147</v>
      </c>
      <c r="F218" s="157"/>
      <c r="G218" s="157" t="s">
        <v>53</v>
      </c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832"/>
    </row>
    <row r="219" spans="1:19" ht="21" customHeight="1">
      <c r="A219" s="157"/>
      <c r="B219" s="157"/>
      <c r="C219" s="212" t="s">
        <v>71</v>
      </c>
      <c r="D219" s="212"/>
      <c r="E219" s="217">
        <f>E211+E218</f>
        <v>0.6242000000000001</v>
      </c>
      <c r="F219" s="212"/>
      <c r="G219" s="212" t="s">
        <v>53</v>
      </c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832"/>
    </row>
    <row r="220" spans="1:19" ht="21" customHeight="1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832"/>
    </row>
    <row r="221" spans="1:19" ht="21" customHeight="1">
      <c r="A221" s="157"/>
      <c r="B221" s="165" t="s">
        <v>78</v>
      </c>
      <c r="C221" s="210" t="s">
        <v>79</v>
      </c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832"/>
    </row>
    <row r="222" spans="1:19" ht="21" customHeight="1">
      <c r="A222" s="157"/>
      <c r="B222" s="175" t="s">
        <v>46</v>
      </c>
      <c r="C222" s="212" t="s">
        <v>47</v>
      </c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832"/>
    </row>
    <row r="223" spans="1:19" ht="21" customHeight="1">
      <c r="A223" s="157"/>
      <c r="B223" s="157"/>
      <c r="C223" s="157" t="s">
        <v>80</v>
      </c>
      <c r="D223" s="157"/>
      <c r="E223" s="213">
        <v>460</v>
      </c>
      <c r="F223" s="157"/>
      <c r="G223" s="157" t="s">
        <v>49</v>
      </c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832"/>
    </row>
    <row r="224" spans="1:19" ht="21" customHeight="1">
      <c r="A224" s="157"/>
      <c r="B224" s="157"/>
      <c r="C224" s="157" t="s">
        <v>50</v>
      </c>
      <c r="D224" s="157"/>
      <c r="E224" s="214">
        <v>306</v>
      </c>
      <c r="F224" s="157"/>
      <c r="G224" s="157" t="s">
        <v>51</v>
      </c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832"/>
    </row>
    <row r="225" spans="1:19" ht="21" customHeight="1">
      <c r="A225" s="157"/>
      <c r="B225" s="157"/>
      <c r="C225" s="157" t="s">
        <v>52</v>
      </c>
      <c r="D225" s="157"/>
      <c r="E225" s="214">
        <v>10.35</v>
      </c>
      <c r="F225" s="157"/>
      <c r="G225" s="157" t="s">
        <v>53</v>
      </c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832"/>
    </row>
    <row r="226" spans="1:19" ht="21" customHeight="1">
      <c r="A226" s="157"/>
      <c r="B226" s="157"/>
      <c r="C226" s="157" t="s">
        <v>54</v>
      </c>
      <c r="D226" s="157"/>
      <c r="E226" s="214">
        <f>E225</f>
        <v>10.35</v>
      </c>
      <c r="F226" s="157"/>
      <c r="G226" s="157" t="s">
        <v>58</v>
      </c>
      <c r="H226" s="157"/>
      <c r="I226" s="157"/>
      <c r="J226" s="215">
        <f>E224</f>
        <v>306</v>
      </c>
      <c r="K226" s="157"/>
      <c r="L226" s="157" t="s">
        <v>59</v>
      </c>
      <c r="M226" s="157" t="s">
        <v>60</v>
      </c>
      <c r="N226" s="157"/>
      <c r="O226" s="157"/>
      <c r="P226" s="157"/>
      <c r="Q226" s="215">
        <f>E223</f>
        <v>460</v>
      </c>
      <c r="R226" s="157" t="s">
        <v>61</v>
      </c>
      <c r="S226" s="832"/>
    </row>
    <row r="227" spans="1:19" ht="21" customHeight="1">
      <c r="A227" s="157"/>
      <c r="B227" s="157"/>
      <c r="C227" s="157" t="s">
        <v>70</v>
      </c>
      <c r="D227" s="157"/>
      <c r="E227" s="199">
        <f>ROUND(E225*100*5*E224/E223/100/100,4)</f>
        <v>0.3443</v>
      </c>
      <c r="F227" s="157"/>
      <c r="G227" s="157" t="s">
        <v>53</v>
      </c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832"/>
    </row>
    <row r="228" spans="1:19" ht="21" customHeight="1">
      <c r="A228" s="157"/>
      <c r="B228" s="175" t="s">
        <v>46</v>
      </c>
      <c r="C228" s="212" t="s">
        <v>63</v>
      </c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832"/>
    </row>
    <row r="229" spans="1:19" ht="21" customHeight="1">
      <c r="A229" s="157"/>
      <c r="B229" s="157"/>
      <c r="C229" s="157" t="s">
        <v>64</v>
      </c>
      <c r="D229" s="157"/>
      <c r="E229" s="176">
        <v>1450</v>
      </c>
      <c r="F229" s="157"/>
      <c r="G229" s="157" t="s">
        <v>65</v>
      </c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832"/>
    </row>
    <row r="230" spans="1:19" ht="21" customHeight="1">
      <c r="A230" s="157"/>
      <c r="B230" s="157"/>
      <c r="C230" s="157" t="s">
        <v>50</v>
      </c>
      <c r="D230" s="157"/>
      <c r="E230" s="176">
        <v>52</v>
      </c>
      <c r="F230" s="157"/>
      <c r="G230" s="157" t="s">
        <v>51</v>
      </c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832"/>
    </row>
    <row r="231" spans="1:19" ht="21" customHeight="1">
      <c r="A231" s="157"/>
      <c r="B231" s="157"/>
      <c r="C231" s="157" t="s">
        <v>75</v>
      </c>
      <c r="D231" s="157"/>
      <c r="E231" s="214">
        <v>6.83</v>
      </c>
      <c r="F231" s="157"/>
      <c r="G231" s="157" t="s">
        <v>53</v>
      </c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832"/>
    </row>
    <row r="232" spans="1:19" ht="21" customHeight="1">
      <c r="A232" s="157"/>
      <c r="B232" s="157"/>
      <c r="C232" s="157" t="s">
        <v>67</v>
      </c>
      <c r="D232" s="157"/>
      <c r="E232" s="214">
        <f>E231</f>
        <v>6.83</v>
      </c>
      <c r="F232" s="157"/>
      <c r="G232" s="157" t="s">
        <v>68</v>
      </c>
      <c r="H232" s="157"/>
      <c r="I232" s="157"/>
      <c r="J232" s="215">
        <f>E230</f>
        <v>52</v>
      </c>
      <c r="K232" s="157"/>
      <c r="L232" s="157" t="s">
        <v>59</v>
      </c>
      <c r="M232" s="157" t="s">
        <v>69</v>
      </c>
      <c r="N232" s="157"/>
      <c r="O232" s="157"/>
      <c r="P232" s="157"/>
      <c r="Q232" s="214">
        <f>E229</f>
        <v>1450</v>
      </c>
      <c r="R232" s="157" t="s">
        <v>61</v>
      </c>
      <c r="S232" s="832"/>
    </row>
    <row r="233" spans="1:19" ht="21" customHeight="1">
      <c r="A233" s="157"/>
      <c r="B233" s="157"/>
      <c r="C233" s="157" t="s">
        <v>70</v>
      </c>
      <c r="D233" s="157"/>
      <c r="E233" s="199">
        <f>ROUND(E231*100*3*E230/E229/100/50,4)</f>
        <v>0.0147</v>
      </c>
      <c r="F233" s="157"/>
      <c r="G233" s="157" t="s">
        <v>53</v>
      </c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832"/>
    </row>
    <row r="234" spans="1:19" ht="21" customHeight="1">
      <c r="A234" s="157"/>
      <c r="B234" s="157"/>
      <c r="C234" s="212" t="s">
        <v>71</v>
      </c>
      <c r="D234" s="212"/>
      <c r="E234" s="217">
        <f>E227+E233</f>
        <v>0.359</v>
      </c>
      <c r="F234" s="212"/>
      <c r="G234" s="212" t="s">
        <v>53</v>
      </c>
      <c r="H234" s="157"/>
      <c r="I234" s="157" t="s">
        <v>562</v>
      </c>
      <c r="J234" s="157" t="s">
        <v>562</v>
      </c>
      <c r="K234" s="157" t="s">
        <v>562</v>
      </c>
      <c r="L234" s="157" t="s">
        <v>562</v>
      </c>
      <c r="M234" s="218" t="s">
        <v>562</v>
      </c>
      <c r="N234" s="157"/>
      <c r="O234" s="157"/>
      <c r="P234" s="157"/>
      <c r="Q234" s="157"/>
      <c r="R234" s="157"/>
      <c r="S234" s="832"/>
    </row>
    <row r="235" spans="1:19" ht="21" customHeight="1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832"/>
    </row>
    <row r="236" spans="1:19" ht="21" customHeight="1">
      <c r="A236" s="157"/>
      <c r="B236" s="202" t="s">
        <v>519</v>
      </c>
      <c r="C236" s="203" t="s">
        <v>81</v>
      </c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832"/>
    </row>
    <row r="237" spans="1:19" ht="21" customHeight="1">
      <c r="A237" s="157"/>
      <c r="B237" s="204"/>
      <c r="C237" s="204" t="s">
        <v>82</v>
      </c>
      <c r="D237" s="204"/>
      <c r="E237" s="204"/>
      <c r="F237" s="208" t="s">
        <v>789</v>
      </c>
      <c r="G237" s="179">
        <f>E203</f>
        <v>0.8573000000000001</v>
      </c>
      <c r="H237" s="204"/>
      <c r="I237" s="219" t="s">
        <v>53</v>
      </c>
      <c r="J237" s="204"/>
      <c r="K237" s="204"/>
      <c r="L237" s="204"/>
      <c r="M237" s="204"/>
      <c r="N237" s="204"/>
      <c r="O237" s="204"/>
      <c r="P237" s="204"/>
      <c r="Q237" s="204"/>
      <c r="R237" s="204"/>
      <c r="S237" s="832"/>
    </row>
    <row r="238" spans="1:19" ht="21" customHeight="1">
      <c r="A238" s="157"/>
      <c r="B238" s="204"/>
      <c r="C238" s="204" t="s">
        <v>83</v>
      </c>
      <c r="D238" s="204"/>
      <c r="E238" s="204"/>
      <c r="F238" s="208" t="s">
        <v>789</v>
      </c>
      <c r="G238" s="179">
        <f>E219</f>
        <v>0.6242000000000001</v>
      </c>
      <c r="H238" s="204"/>
      <c r="I238" s="219" t="s">
        <v>53</v>
      </c>
      <c r="J238" s="204"/>
      <c r="K238" s="204"/>
      <c r="L238" s="204"/>
      <c r="M238" s="204"/>
      <c r="N238" s="204"/>
      <c r="O238" s="204"/>
      <c r="P238" s="204"/>
      <c r="Q238" s="204"/>
      <c r="R238" s="204"/>
      <c r="S238" s="832"/>
    </row>
    <row r="239" spans="1:19" ht="21" customHeight="1">
      <c r="A239" s="157"/>
      <c r="B239" s="204"/>
      <c r="C239" s="204" t="s">
        <v>84</v>
      </c>
      <c r="D239" s="204"/>
      <c r="E239" s="204"/>
      <c r="F239" s="208" t="s">
        <v>789</v>
      </c>
      <c r="G239" s="179">
        <f>E234</f>
        <v>0.359</v>
      </c>
      <c r="H239" s="204"/>
      <c r="I239" s="219" t="s">
        <v>53</v>
      </c>
      <c r="J239" s="204"/>
      <c r="K239" s="204"/>
      <c r="L239" s="204"/>
      <c r="M239" s="204"/>
      <c r="N239" s="204"/>
      <c r="O239" s="204"/>
      <c r="P239" s="204"/>
      <c r="Q239" s="204"/>
      <c r="R239" s="204"/>
      <c r="S239" s="832"/>
    </row>
    <row r="240" spans="1:19" ht="21" customHeight="1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832"/>
    </row>
    <row r="241" spans="1:19" ht="21" customHeight="1">
      <c r="A241" s="157"/>
      <c r="B241" s="162" t="s">
        <v>85</v>
      </c>
      <c r="C241" s="162" t="s">
        <v>86</v>
      </c>
      <c r="D241" s="163"/>
      <c r="E241" s="163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832"/>
    </row>
    <row r="242" spans="1:19" ht="21" customHeight="1">
      <c r="A242" s="157"/>
      <c r="B242" s="157"/>
      <c r="C242" s="157" t="s">
        <v>87</v>
      </c>
      <c r="D242" s="157"/>
      <c r="E242" s="157"/>
      <c r="F242" s="157" t="s">
        <v>789</v>
      </c>
      <c r="G242" s="220">
        <v>0.01</v>
      </c>
      <c r="H242" s="157"/>
      <c r="I242" s="200" t="s">
        <v>53</v>
      </c>
      <c r="J242" s="157"/>
      <c r="K242" s="157"/>
      <c r="L242" s="157"/>
      <c r="M242" s="157"/>
      <c r="N242" s="157"/>
      <c r="O242" s="157"/>
      <c r="P242" s="157"/>
      <c r="Q242" s="157"/>
      <c r="R242" s="157"/>
      <c r="S242" s="832"/>
    </row>
    <row r="243" spans="1:19" ht="21" customHeight="1">
      <c r="A243" s="835" t="s">
        <v>88</v>
      </c>
      <c r="B243" s="835"/>
      <c r="C243" s="835"/>
      <c r="D243" s="835"/>
      <c r="E243" s="835"/>
      <c r="F243" s="835"/>
      <c r="G243" s="835"/>
      <c r="H243" s="835"/>
      <c r="I243" s="835"/>
      <c r="J243" s="835"/>
      <c r="K243" s="835"/>
      <c r="L243" s="835"/>
      <c r="M243" s="835"/>
      <c r="N243" s="835"/>
      <c r="O243" s="835"/>
      <c r="P243" s="835"/>
      <c r="Q243" s="835"/>
      <c r="R243" s="835"/>
      <c r="S243" s="832"/>
    </row>
    <row r="244" spans="1:19" ht="21" customHeight="1">
      <c r="A244" s="157"/>
      <c r="B244" s="162" t="s">
        <v>89</v>
      </c>
      <c r="C244" s="162" t="s">
        <v>90</v>
      </c>
      <c r="D244" s="163"/>
      <c r="E244" s="163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832" t="s">
        <v>91</v>
      </c>
    </row>
    <row r="245" spans="1:19" ht="21" customHeight="1">
      <c r="A245" s="157"/>
      <c r="B245" s="157" t="s">
        <v>92</v>
      </c>
      <c r="C245" s="164" t="s">
        <v>472</v>
      </c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832"/>
    </row>
    <row r="246" spans="1:19" ht="21" customHeight="1">
      <c r="A246" s="157"/>
      <c r="B246" s="157"/>
      <c r="C246" s="157" t="s">
        <v>93</v>
      </c>
      <c r="D246" s="195">
        <v>1300</v>
      </c>
      <c r="E246" s="157" t="s">
        <v>816</v>
      </c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832"/>
    </row>
    <row r="247" spans="1:19" ht="21" customHeight="1">
      <c r="A247" s="157"/>
      <c r="B247" s="157"/>
      <c r="C247" s="157" t="s">
        <v>94</v>
      </c>
      <c r="D247" s="221">
        <v>0.5</v>
      </c>
      <c r="E247" s="157" t="s">
        <v>95</v>
      </c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832"/>
    </row>
    <row r="248" spans="1:19" ht="21" customHeight="1">
      <c r="A248" s="157"/>
      <c r="B248" s="157"/>
      <c r="C248" s="157" t="s">
        <v>96</v>
      </c>
      <c r="D248" s="195">
        <f>D246*D247</f>
        <v>650</v>
      </c>
      <c r="E248" s="157" t="s">
        <v>816</v>
      </c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832"/>
    </row>
    <row r="249" spans="1:19" ht="21" customHeight="1">
      <c r="A249" s="157"/>
      <c r="B249" s="157" t="s">
        <v>562</v>
      </c>
      <c r="C249" s="165" t="s">
        <v>463</v>
      </c>
      <c r="D249" s="165" t="s">
        <v>465</v>
      </c>
      <c r="E249" s="165"/>
      <c r="F249" s="157"/>
      <c r="G249" s="836" t="s">
        <v>778</v>
      </c>
      <c r="H249" s="836"/>
      <c r="I249" s="836"/>
      <c r="J249" s="836"/>
      <c r="K249" s="836"/>
      <c r="L249" s="836"/>
      <c r="M249" s="836"/>
      <c r="N249" s="836"/>
      <c r="O249" s="836"/>
      <c r="P249" s="836"/>
      <c r="Q249" s="836"/>
      <c r="R249" s="836"/>
      <c r="S249" s="832"/>
    </row>
    <row r="250" spans="1:19" ht="21" customHeight="1">
      <c r="A250" s="157"/>
      <c r="B250" s="175" t="s">
        <v>788</v>
      </c>
      <c r="C250" s="176">
        <v>500000</v>
      </c>
      <c r="D250" s="195">
        <v>6</v>
      </c>
      <c r="E250" s="198" t="s">
        <v>821</v>
      </c>
      <c r="F250" s="157"/>
      <c r="G250" s="172">
        <f>D248</f>
        <v>650</v>
      </c>
      <c r="H250" s="165" t="s">
        <v>787</v>
      </c>
      <c r="I250" s="165">
        <f>D250</f>
        <v>6</v>
      </c>
      <c r="J250" s="157" t="s">
        <v>822</v>
      </c>
      <c r="K250" s="157"/>
      <c r="L250" s="157" t="s">
        <v>783</v>
      </c>
      <c r="M250" s="172">
        <f>C250</f>
        <v>500000</v>
      </c>
      <c r="N250" s="157"/>
      <c r="O250" s="157" t="s">
        <v>784</v>
      </c>
      <c r="P250" s="157"/>
      <c r="Q250" s="199">
        <f>ROUND(G250*I250*100/M250,4)</f>
        <v>0.78</v>
      </c>
      <c r="R250" s="157"/>
      <c r="S250" s="832"/>
    </row>
    <row r="251" spans="1:19" ht="21" customHeight="1">
      <c r="A251" s="157"/>
      <c r="B251" s="157"/>
      <c r="C251" s="176">
        <v>1000000</v>
      </c>
      <c r="D251" s="195">
        <v>6</v>
      </c>
      <c r="E251" s="198" t="s">
        <v>821</v>
      </c>
      <c r="F251" s="157"/>
      <c r="G251" s="172">
        <f>D248</f>
        <v>650</v>
      </c>
      <c r="H251" s="165" t="s">
        <v>787</v>
      </c>
      <c r="I251" s="165">
        <f>D251</f>
        <v>6</v>
      </c>
      <c r="J251" s="157" t="s">
        <v>822</v>
      </c>
      <c r="K251" s="157"/>
      <c r="L251" s="157" t="s">
        <v>783</v>
      </c>
      <c r="M251" s="172">
        <f>C251</f>
        <v>1000000</v>
      </c>
      <c r="N251" s="157"/>
      <c r="O251" s="157" t="s">
        <v>784</v>
      </c>
      <c r="P251" s="157"/>
      <c r="Q251" s="199">
        <f>ROUND(G251*I251*100/M251,4)</f>
        <v>0.39</v>
      </c>
      <c r="R251" s="157"/>
      <c r="S251" s="832"/>
    </row>
    <row r="252" spans="1:19" ht="21" customHeight="1">
      <c r="A252" s="157"/>
      <c r="B252" s="157"/>
      <c r="C252" s="176">
        <v>2000000</v>
      </c>
      <c r="D252" s="195">
        <v>9</v>
      </c>
      <c r="E252" s="198" t="s">
        <v>821</v>
      </c>
      <c r="F252" s="157"/>
      <c r="G252" s="172">
        <f>D248</f>
        <v>650</v>
      </c>
      <c r="H252" s="165" t="s">
        <v>787</v>
      </c>
      <c r="I252" s="165">
        <f>D252</f>
        <v>9</v>
      </c>
      <c r="J252" s="157" t="s">
        <v>822</v>
      </c>
      <c r="K252" s="157"/>
      <c r="L252" s="157" t="s">
        <v>783</v>
      </c>
      <c r="M252" s="172">
        <f>C252</f>
        <v>2000000</v>
      </c>
      <c r="N252" s="157"/>
      <c r="O252" s="157" t="s">
        <v>784</v>
      </c>
      <c r="P252" s="157"/>
      <c r="Q252" s="199">
        <f>ROUND(G252*I252*100/M252,4)</f>
        <v>0.2925</v>
      </c>
      <c r="R252" s="157"/>
      <c r="S252" s="832"/>
    </row>
    <row r="253" spans="1:19" ht="21" customHeight="1">
      <c r="A253" s="157"/>
      <c r="B253" s="157"/>
      <c r="C253" s="176">
        <v>5000000</v>
      </c>
      <c r="D253" s="195">
        <v>12</v>
      </c>
      <c r="E253" s="198" t="s">
        <v>821</v>
      </c>
      <c r="F253" s="157"/>
      <c r="G253" s="172">
        <f>D248</f>
        <v>650</v>
      </c>
      <c r="H253" s="165" t="s">
        <v>787</v>
      </c>
      <c r="I253" s="165">
        <f>D253</f>
        <v>12</v>
      </c>
      <c r="J253" s="157" t="s">
        <v>822</v>
      </c>
      <c r="K253" s="157"/>
      <c r="L253" s="157" t="s">
        <v>783</v>
      </c>
      <c r="M253" s="172">
        <f>C253</f>
        <v>5000000</v>
      </c>
      <c r="N253" s="157"/>
      <c r="O253" s="157" t="s">
        <v>784</v>
      </c>
      <c r="P253" s="157"/>
      <c r="Q253" s="199">
        <f>ROUND(G253*I253*100/M253,4)</f>
        <v>0.156</v>
      </c>
      <c r="R253" s="157"/>
      <c r="S253" s="832"/>
    </row>
    <row r="254" spans="1:19" ht="21" customHeight="1">
      <c r="A254" s="157"/>
      <c r="B254" s="157"/>
      <c r="C254" s="176">
        <v>10000000</v>
      </c>
      <c r="D254" s="195">
        <v>15</v>
      </c>
      <c r="E254" s="198" t="s">
        <v>821</v>
      </c>
      <c r="F254" s="157"/>
      <c r="G254" s="172">
        <f>D248</f>
        <v>650</v>
      </c>
      <c r="H254" s="165" t="s">
        <v>787</v>
      </c>
      <c r="I254" s="165">
        <f>D254</f>
        <v>15</v>
      </c>
      <c r="J254" s="157" t="s">
        <v>822</v>
      </c>
      <c r="K254" s="157"/>
      <c r="L254" s="157" t="s">
        <v>783</v>
      </c>
      <c r="M254" s="172">
        <f>C254</f>
        <v>10000000</v>
      </c>
      <c r="N254" s="157"/>
      <c r="O254" s="157" t="s">
        <v>784</v>
      </c>
      <c r="P254" s="157"/>
      <c r="Q254" s="199">
        <f>ROUND(G254*I254*100/M254,4)</f>
        <v>0.0975</v>
      </c>
      <c r="R254" s="157"/>
      <c r="S254" s="832"/>
    </row>
    <row r="255" spans="1:19" ht="21" customHeight="1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200" t="s">
        <v>823</v>
      </c>
      <c r="N255" s="157"/>
      <c r="O255" s="157" t="s">
        <v>784</v>
      </c>
      <c r="P255" s="157"/>
      <c r="Q255" s="201">
        <f>ROUND((Q250+Q251+Q252+Q253+Q254)/5,4)</f>
        <v>0.3432</v>
      </c>
      <c r="R255" s="157"/>
      <c r="S255" s="832"/>
    </row>
    <row r="256" spans="1:19" ht="21" customHeight="1">
      <c r="A256" s="157"/>
      <c r="B256" s="157" t="s">
        <v>97</v>
      </c>
      <c r="C256" s="164" t="s">
        <v>473</v>
      </c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832"/>
    </row>
    <row r="257" spans="1:19" ht="21" customHeight="1">
      <c r="A257" s="157"/>
      <c r="B257" s="157"/>
      <c r="C257" s="157" t="s">
        <v>93</v>
      </c>
      <c r="D257" s="195">
        <v>1300</v>
      </c>
      <c r="E257" s="157" t="s">
        <v>816</v>
      </c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832"/>
    </row>
    <row r="258" spans="1:19" ht="21" customHeight="1">
      <c r="A258" s="157"/>
      <c r="B258" s="157"/>
      <c r="C258" s="157" t="s">
        <v>94</v>
      </c>
      <c r="D258" s="195">
        <v>1</v>
      </c>
      <c r="E258" s="157" t="s">
        <v>95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832"/>
    </row>
    <row r="259" spans="1:19" ht="21" customHeight="1">
      <c r="A259" s="157"/>
      <c r="B259" s="157"/>
      <c r="C259" s="157" t="s">
        <v>96</v>
      </c>
      <c r="D259" s="195">
        <f>D257*D258</f>
        <v>1300</v>
      </c>
      <c r="E259" s="157" t="s">
        <v>816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832"/>
    </row>
    <row r="260" spans="1:19" ht="21" customHeight="1">
      <c r="A260" s="157"/>
      <c r="B260" s="157" t="s">
        <v>562</v>
      </c>
      <c r="C260" s="165" t="s">
        <v>463</v>
      </c>
      <c r="D260" s="165" t="s">
        <v>465</v>
      </c>
      <c r="E260" s="165"/>
      <c r="F260" s="157"/>
      <c r="G260" s="836" t="s">
        <v>778</v>
      </c>
      <c r="H260" s="836"/>
      <c r="I260" s="836"/>
      <c r="J260" s="836"/>
      <c r="K260" s="836"/>
      <c r="L260" s="836"/>
      <c r="M260" s="836"/>
      <c r="N260" s="836"/>
      <c r="O260" s="836"/>
      <c r="P260" s="836"/>
      <c r="Q260" s="836"/>
      <c r="R260" s="836"/>
      <c r="S260" s="832"/>
    </row>
    <row r="261" spans="1:19" ht="21" customHeight="1">
      <c r="A261" s="157"/>
      <c r="B261" s="175" t="s">
        <v>788</v>
      </c>
      <c r="C261" s="176">
        <v>10000001</v>
      </c>
      <c r="D261" s="195">
        <v>15</v>
      </c>
      <c r="E261" s="198" t="s">
        <v>821</v>
      </c>
      <c r="F261" s="157"/>
      <c r="G261" s="172">
        <f>D259</f>
        <v>1300</v>
      </c>
      <c r="H261" s="165" t="s">
        <v>787</v>
      </c>
      <c r="I261" s="165">
        <f>D261</f>
        <v>15</v>
      </c>
      <c r="J261" s="157" t="s">
        <v>822</v>
      </c>
      <c r="K261" s="157"/>
      <c r="L261" s="157" t="s">
        <v>783</v>
      </c>
      <c r="M261" s="172">
        <f>C261</f>
        <v>10000001</v>
      </c>
      <c r="N261" s="157"/>
      <c r="O261" s="157" t="s">
        <v>784</v>
      </c>
      <c r="P261" s="157"/>
      <c r="Q261" s="199">
        <f>ROUND(G261*I261*100/M261,4)</f>
        <v>0.195</v>
      </c>
      <c r="R261" s="157"/>
      <c r="S261" s="832"/>
    </row>
    <row r="262" spans="1:19" ht="21" customHeight="1">
      <c r="A262" s="157"/>
      <c r="B262" s="157"/>
      <c r="C262" s="176">
        <v>15000000</v>
      </c>
      <c r="D262" s="195">
        <v>15</v>
      </c>
      <c r="E262" s="198" t="s">
        <v>821</v>
      </c>
      <c r="F262" s="157"/>
      <c r="G262" s="172">
        <f>D259</f>
        <v>1300</v>
      </c>
      <c r="H262" s="165" t="s">
        <v>787</v>
      </c>
      <c r="I262" s="165">
        <f>D262</f>
        <v>15</v>
      </c>
      <c r="J262" s="157" t="s">
        <v>822</v>
      </c>
      <c r="K262" s="157"/>
      <c r="L262" s="157" t="s">
        <v>783</v>
      </c>
      <c r="M262" s="172">
        <f>C262</f>
        <v>15000000</v>
      </c>
      <c r="N262" s="157"/>
      <c r="O262" s="157" t="s">
        <v>784</v>
      </c>
      <c r="P262" s="157"/>
      <c r="Q262" s="199">
        <f>ROUND(G262*I262*100/M262,4)</f>
        <v>0.13</v>
      </c>
      <c r="R262" s="157"/>
      <c r="S262" s="832"/>
    </row>
    <row r="263" spans="1:19" ht="21" customHeight="1">
      <c r="A263" s="157"/>
      <c r="B263" s="157"/>
      <c r="C263" s="176">
        <v>20000000</v>
      </c>
      <c r="D263" s="195">
        <v>16</v>
      </c>
      <c r="E263" s="198" t="s">
        <v>821</v>
      </c>
      <c r="F263" s="157"/>
      <c r="G263" s="172">
        <f>D259</f>
        <v>1300</v>
      </c>
      <c r="H263" s="165" t="s">
        <v>787</v>
      </c>
      <c r="I263" s="165">
        <f>D263</f>
        <v>16</v>
      </c>
      <c r="J263" s="157" t="s">
        <v>822</v>
      </c>
      <c r="K263" s="157"/>
      <c r="L263" s="157" t="s">
        <v>783</v>
      </c>
      <c r="M263" s="172">
        <f>C263</f>
        <v>20000000</v>
      </c>
      <c r="N263" s="157"/>
      <c r="O263" s="157" t="s">
        <v>784</v>
      </c>
      <c r="P263" s="157"/>
      <c r="Q263" s="199">
        <f>ROUND(G263*I263*100/M263,4)</f>
        <v>0.104</v>
      </c>
      <c r="R263" s="157"/>
      <c r="S263" s="832"/>
    </row>
    <row r="264" spans="1:19" ht="21" customHeight="1">
      <c r="A264" s="157"/>
      <c r="B264" s="157"/>
      <c r="C264" s="176">
        <v>25000000</v>
      </c>
      <c r="D264" s="195">
        <v>16</v>
      </c>
      <c r="E264" s="198" t="s">
        <v>821</v>
      </c>
      <c r="F264" s="157"/>
      <c r="G264" s="172">
        <f>D259</f>
        <v>1300</v>
      </c>
      <c r="H264" s="165" t="s">
        <v>787</v>
      </c>
      <c r="I264" s="165">
        <f>D264</f>
        <v>16</v>
      </c>
      <c r="J264" s="157" t="s">
        <v>822</v>
      </c>
      <c r="K264" s="157"/>
      <c r="L264" s="157" t="s">
        <v>783</v>
      </c>
      <c r="M264" s="172">
        <f>C264</f>
        <v>25000000</v>
      </c>
      <c r="N264" s="157"/>
      <c r="O264" s="157" t="s">
        <v>784</v>
      </c>
      <c r="P264" s="157"/>
      <c r="Q264" s="199">
        <f>ROUND(G264*I264*100/M264,4)</f>
        <v>0.0832</v>
      </c>
      <c r="R264" s="157"/>
      <c r="S264" s="832"/>
    </row>
    <row r="265" spans="1:19" ht="21" customHeight="1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200" t="s">
        <v>823</v>
      </c>
      <c r="N265" s="157"/>
      <c r="O265" s="157" t="s">
        <v>784</v>
      </c>
      <c r="P265" s="157"/>
      <c r="Q265" s="201">
        <f>ROUND((Q261+Q262+Q263+Q264)/4,4)</f>
        <v>0.1281</v>
      </c>
      <c r="R265" s="157"/>
      <c r="S265" s="832"/>
    </row>
    <row r="266" spans="1:19" ht="21" customHeight="1">
      <c r="A266" s="157"/>
      <c r="B266" s="157" t="s">
        <v>98</v>
      </c>
      <c r="C266" s="164" t="s">
        <v>474</v>
      </c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832"/>
    </row>
    <row r="267" spans="1:19" ht="21" customHeight="1">
      <c r="A267" s="157"/>
      <c r="B267" s="157"/>
      <c r="C267" s="157" t="s">
        <v>93</v>
      </c>
      <c r="D267" s="195">
        <v>1300</v>
      </c>
      <c r="E267" s="157" t="s">
        <v>816</v>
      </c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832"/>
    </row>
    <row r="268" spans="1:19" ht="21" customHeight="1">
      <c r="A268" s="157"/>
      <c r="B268" s="157"/>
      <c r="C268" s="157" t="s">
        <v>94</v>
      </c>
      <c r="D268" s="195">
        <v>2</v>
      </c>
      <c r="E268" s="157" t="s">
        <v>95</v>
      </c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832"/>
    </row>
    <row r="269" spans="1:19" ht="21" customHeight="1">
      <c r="A269" s="157"/>
      <c r="B269" s="157"/>
      <c r="C269" s="157" t="s">
        <v>96</v>
      </c>
      <c r="D269" s="195">
        <f>D267*D268</f>
        <v>2600</v>
      </c>
      <c r="E269" s="157" t="s">
        <v>816</v>
      </c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832"/>
    </row>
    <row r="270" spans="1:19" ht="21" customHeight="1">
      <c r="A270" s="835" t="s">
        <v>99</v>
      </c>
      <c r="B270" s="835"/>
      <c r="C270" s="835"/>
      <c r="D270" s="835"/>
      <c r="E270" s="835"/>
      <c r="F270" s="835"/>
      <c r="G270" s="835"/>
      <c r="H270" s="835"/>
      <c r="I270" s="835"/>
      <c r="J270" s="835"/>
      <c r="K270" s="835"/>
      <c r="L270" s="835"/>
      <c r="M270" s="835"/>
      <c r="N270" s="835"/>
      <c r="O270" s="835"/>
      <c r="P270" s="835"/>
      <c r="Q270" s="835"/>
      <c r="R270" s="835"/>
      <c r="S270" s="832"/>
    </row>
    <row r="271" spans="1:19" ht="21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832" t="s">
        <v>100</v>
      </c>
    </row>
    <row r="272" spans="1:19" ht="21" customHeight="1">
      <c r="A272" s="157"/>
      <c r="B272" s="157" t="s">
        <v>562</v>
      </c>
      <c r="C272" s="165" t="s">
        <v>463</v>
      </c>
      <c r="D272" s="165" t="s">
        <v>465</v>
      </c>
      <c r="E272" s="165"/>
      <c r="F272" s="157"/>
      <c r="G272" s="836" t="s">
        <v>778</v>
      </c>
      <c r="H272" s="836"/>
      <c r="I272" s="836"/>
      <c r="J272" s="836"/>
      <c r="K272" s="836"/>
      <c r="L272" s="836"/>
      <c r="M272" s="836"/>
      <c r="N272" s="836"/>
      <c r="O272" s="836"/>
      <c r="P272" s="836"/>
      <c r="Q272" s="836"/>
      <c r="R272" s="836"/>
      <c r="S272" s="832"/>
    </row>
    <row r="273" spans="1:19" ht="21" customHeight="1">
      <c r="A273" s="157"/>
      <c r="B273" s="175" t="s">
        <v>788</v>
      </c>
      <c r="C273" s="176">
        <v>25000001</v>
      </c>
      <c r="D273" s="195">
        <v>16</v>
      </c>
      <c r="E273" s="198" t="s">
        <v>821</v>
      </c>
      <c r="F273" s="157"/>
      <c r="G273" s="172">
        <f>D269</f>
        <v>2600</v>
      </c>
      <c r="H273" s="165" t="s">
        <v>787</v>
      </c>
      <c r="I273" s="165">
        <f aca="true" t="shared" si="4" ref="I273:I281">D273</f>
        <v>16</v>
      </c>
      <c r="J273" s="157" t="s">
        <v>822</v>
      </c>
      <c r="K273" s="157"/>
      <c r="L273" s="157" t="s">
        <v>783</v>
      </c>
      <c r="M273" s="172">
        <f aca="true" t="shared" si="5" ref="M273:M281">C273</f>
        <v>25000001</v>
      </c>
      <c r="N273" s="157"/>
      <c r="O273" s="157" t="s">
        <v>784</v>
      </c>
      <c r="P273" s="157"/>
      <c r="Q273" s="199">
        <f aca="true" t="shared" si="6" ref="Q273:Q281">ROUND(G273*I273*100/M273,4)</f>
        <v>0.1664</v>
      </c>
      <c r="R273" s="157"/>
      <c r="S273" s="832"/>
    </row>
    <row r="274" spans="1:19" ht="21" customHeight="1">
      <c r="A274" s="157"/>
      <c r="B274" s="157"/>
      <c r="C274" s="176">
        <v>30000000</v>
      </c>
      <c r="D274" s="195">
        <v>17</v>
      </c>
      <c r="E274" s="198" t="s">
        <v>821</v>
      </c>
      <c r="F274" s="157"/>
      <c r="G274" s="172">
        <f>D269</f>
        <v>2600</v>
      </c>
      <c r="H274" s="165" t="s">
        <v>787</v>
      </c>
      <c r="I274" s="165">
        <f t="shared" si="4"/>
        <v>17</v>
      </c>
      <c r="J274" s="157" t="s">
        <v>822</v>
      </c>
      <c r="K274" s="157"/>
      <c r="L274" s="157" t="s">
        <v>783</v>
      </c>
      <c r="M274" s="172">
        <f t="shared" si="5"/>
        <v>30000000</v>
      </c>
      <c r="N274" s="157"/>
      <c r="O274" s="157" t="s">
        <v>784</v>
      </c>
      <c r="P274" s="157"/>
      <c r="Q274" s="199">
        <f t="shared" si="6"/>
        <v>0.1473</v>
      </c>
      <c r="R274" s="157"/>
      <c r="S274" s="832"/>
    </row>
    <row r="275" spans="1:19" ht="21" customHeight="1">
      <c r="A275" s="157"/>
      <c r="B275" s="157"/>
      <c r="C275" s="176">
        <v>40000000</v>
      </c>
      <c r="D275" s="195">
        <v>17</v>
      </c>
      <c r="E275" s="198" t="s">
        <v>821</v>
      </c>
      <c r="F275" s="157"/>
      <c r="G275" s="172">
        <f>D269</f>
        <v>2600</v>
      </c>
      <c r="H275" s="165" t="s">
        <v>787</v>
      </c>
      <c r="I275" s="165">
        <f t="shared" si="4"/>
        <v>17</v>
      </c>
      <c r="J275" s="157" t="s">
        <v>822</v>
      </c>
      <c r="K275" s="157"/>
      <c r="L275" s="157" t="s">
        <v>783</v>
      </c>
      <c r="M275" s="172">
        <f t="shared" si="5"/>
        <v>40000000</v>
      </c>
      <c r="N275" s="157"/>
      <c r="O275" s="157" t="s">
        <v>784</v>
      </c>
      <c r="P275" s="157"/>
      <c r="Q275" s="199">
        <f t="shared" si="6"/>
        <v>0.1105</v>
      </c>
      <c r="R275" s="157"/>
      <c r="S275" s="832"/>
    </row>
    <row r="276" spans="1:19" ht="21" customHeight="1">
      <c r="A276" s="157"/>
      <c r="B276" s="157"/>
      <c r="C276" s="176">
        <v>50000000</v>
      </c>
      <c r="D276" s="195">
        <v>18</v>
      </c>
      <c r="E276" s="198" t="s">
        <v>821</v>
      </c>
      <c r="F276" s="157"/>
      <c r="G276" s="172">
        <f>D269</f>
        <v>2600</v>
      </c>
      <c r="H276" s="165" t="s">
        <v>787</v>
      </c>
      <c r="I276" s="165">
        <f t="shared" si="4"/>
        <v>18</v>
      </c>
      <c r="J276" s="157" t="s">
        <v>822</v>
      </c>
      <c r="K276" s="157"/>
      <c r="L276" s="157" t="s">
        <v>783</v>
      </c>
      <c r="M276" s="172">
        <f t="shared" si="5"/>
        <v>50000000</v>
      </c>
      <c r="N276" s="157"/>
      <c r="O276" s="157" t="s">
        <v>784</v>
      </c>
      <c r="P276" s="157"/>
      <c r="Q276" s="199">
        <f t="shared" si="6"/>
        <v>0.0936</v>
      </c>
      <c r="R276" s="157"/>
      <c r="S276" s="832"/>
    </row>
    <row r="277" spans="1:19" ht="21" customHeight="1">
      <c r="A277" s="157"/>
      <c r="B277" s="157"/>
      <c r="C277" s="176">
        <v>60000000</v>
      </c>
      <c r="D277" s="195">
        <v>18</v>
      </c>
      <c r="E277" s="198" t="s">
        <v>821</v>
      </c>
      <c r="F277" s="157"/>
      <c r="G277" s="172">
        <f>D269</f>
        <v>2600</v>
      </c>
      <c r="H277" s="165" t="s">
        <v>787</v>
      </c>
      <c r="I277" s="165">
        <f t="shared" si="4"/>
        <v>18</v>
      </c>
      <c r="J277" s="157" t="s">
        <v>822</v>
      </c>
      <c r="K277" s="157"/>
      <c r="L277" s="157" t="s">
        <v>783</v>
      </c>
      <c r="M277" s="172">
        <f t="shared" si="5"/>
        <v>60000000</v>
      </c>
      <c r="N277" s="157"/>
      <c r="O277" s="157" t="s">
        <v>784</v>
      </c>
      <c r="P277" s="157"/>
      <c r="Q277" s="199">
        <f t="shared" si="6"/>
        <v>0.078</v>
      </c>
      <c r="R277" s="157"/>
      <c r="S277" s="832"/>
    </row>
    <row r="278" spans="1:19" ht="21" customHeight="1">
      <c r="A278" s="157"/>
      <c r="B278" s="157"/>
      <c r="C278" s="176">
        <v>70000000</v>
      </c>
      <c r="D278" s="195">
        <v>20</v>
      </c>
      <c r="E278" s="198" t="s">
        <v>821</v>
      </c>
      <c r="F278" s="157"/>
      <c r="G278" s="172">
        <f>D269</f>
        <v>2600</v>
      </c>
      <c r="H278" s="165" t="s">
        <v>787</v>
      </c>
      <c r="I278" s="165">
        <f t="shared" si="4"/>
        <v>20</v>
      </c>
      <c r="J278" s="157" t="s">
        <v>822</v>
      </c>
      <c r="K278" s="157"/>
      <c r="L278" s="157" t="s">
        <v>783</v>
      </c>
      <c r="M278" s="172">
        <f t="shared" si="5"/>
        <v>70000000</v>
      </c>
      <c r="N278" s="157"/>
      <c r="O278" s="157" t="s">
        <v>784</v>
      </c>
      <c r="P278" s="157"/>
      <c r="Q278" s="199">
        <f t="shared" si="6"/>
        <v>0.0743</v>
      </c>
      <c r="R278" s="157"/>
      <c r="S278" s="832"/>
    </row>
    <row r="279" spans="1:19" ht="21" customHeight="1">
      <c r="A279" s="157"/>
      <c r="B279" s="157"/>
      <c r="C279" s="176">
        <v>80000000</v>
      </c>
      <c r="D279" s="195">
        <v>20</v>
      </c>
      <c r="E279" s="198" t="s">
        <v>821</v>
      </c>
      <c r="F279" s="157"/>
      <c r="G279" s="172">
        <f>D269</f>
        <v>2600</v>
      </c>
      <c r="H279" s="165" t="s">
        <v>787</v>
      </c>
      <c r="I279" s="165">
        <f t="shared" si="4"/>
        <v>20</v>
      </c>
      <c r="J279" s="157" t="s">
        <v>822</v>
      </c>
      <c r="K279" s="157"/>
      <c r="L279" s="157" t="s">
        <v>783</v>
      </c>
      <c r="M279" s="172">
        <f t="shared" si="5"/>
        <v>80000000</v>
      </c>
      <c r="N279" s="157"/>
      <c r="O279" s="157" t="s">
        <v>784</v>
      </c>
      <c r="P279" s="157"/>
      <c r="Q279" s="199">
        <f t="shared" si="6"/>
        <v>0.065</v>
      </c>
      <c r="R279" s="157"/>
      <c r="S279" s="832"/>
    </row>
    <row r="280" spans="1:19" ht="21" customHeight="1">
      <c r="A280" s="157"/>
      <c r="B280" s="157"/>
      <c r="C280" s="176">
        <v>90000000</v>
      </c>
      <c r="D280" s="195">
        <v>20</v>
      </c>
      <c r="E280" s="198" t="s">
        <v>821</v>
      </c>
      <c r="F280" s="157"/>
      <c r="G280" s="172">
        <f>D269</f>
        <v>2600</v>
      </c>
      <c r="H280" s="165" t="s">
        <v>787</v>
      </c>
      <c r="I280" s="165">
        <f t="shared" si="4"/>
        <v>20</v>
      </c>
      <c r="J280" s="157" t="s">
        <v>822</v>
      </c>
      <c r="K280" s="157"/>
      <c r="L280" s="157" t="s">
        <v>783</v>
      </c>
      <c r="M280" s="172">
        <f t="shared" si="5"/>
        <v>90000000</v>
      </c>
      <c r="N280" s="157"/>
      <c r="O280" s="157" t="s">
        <v>784</v>
      </c>
      <c r="P280" s="157"/>
      <c r="Q280" s="199">
        <f t="shared" si="6"/>
        <v>0.0578</v>
      </c>
      <c r="R280" s="157"/>
      <c r="S280" s="832"/>
    </row>
    <row r="281" spans="1:19" ht="21" customHeight="1">
      <c r="A281" s="157"/>
      <c r="B281" s="157"/>
      <c r="C281" s="176">
        <v>100000000</v>
      </c>
      <c r="D281" s="195">
        <v>20</v>
      </c>
      <c r="E281" s="198" t="s">
        <v>821</v>
      </c>
      <c r="F281" s="157"/>
      <c r="G281" s="172">
        <f>D269</f>
        <v>2600</v>
      </c>
      <c r="H281" s="165" t="s">
        <v>787</v>
      </c>
      <c r="I281" s="165">
        <f t="shared" si="4"/>
        <v>20</v>
      </c>
      <c r="J281" s="157" t="s">
        <v>822</v>
      </c>
      <c r="K281" s="157"/>
      <c r="L281" s="157" t="s">
        <v>783</v>
      </c>
      <c r="M281" s="172">
        <f t="shared" si="5"/>
        <v>100000000</v>
      </c>
      <c r="N281" s="157"/>
      <c r="O281" s="157" t="s">
        <v>784</v>
      </c>
      <c r="P281" s="157"/>
      <c r="Q281" s="199">
        <f t="shared" si="6"/>
        <v>0.052</v>
      </c>
      <c r="R281" s="157"/>
      <c r="S281" s="832"/>
    </row>
    <row r="282" spans="1:19" ht="21" customHeight="1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200" t="s">
        <v>823</v>
      </c>
      <c r="N282" s="157"/>
      <c r="O282" s="157" t="s">
        <v>784</v>
      </c>
      <c r="P282" s="157"/>
      <c r="Q282" s="201">
        <f>ROUND((Q273+Q274+Q275+Q276+Q277+Q278+Q279+Q280+Q281)/9,4)</f>
        <v>0.0939</v>
      </c>
      <c r="R282" s="157"/>
      <c r="S282" s="832"/>
    </row>
    <row r="283" spans="1:19" ht="21" customHeight="1">
      <c r="A283" s="157"/>
      <c r="B283" s="157" t="s">
        <v>101</v>
      </c>
      <c r="C283" s="164" t="s">
        <v>475</v>
      </c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832"/>
    </row>
    <row r="284" spans="1:19" ht="21" customHeight="1">
      <c r="A284" s="157"/>
      <c r="B284" s="157"/>
      <c r="C284" s="157" t="s">
        <v>93</v>
      </c>
      <c r="D284" s="195">
        <v>1300</v>
      </c>
      <c r="E284" s="157" t="s">
        <v>816</v>
      </c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832"/>
    </row>
    <row r="285" spans="1:19" ht="21" customHeight="1">
      <c r="A285" s="157"/>
      <c r="B285" s="157"/>
      <c r="C285" s="157" t="s">
        <v>94</v>
      </c>
      <c r="D285" s="195">
        <v>4</v>
      </c>
      <c r="E285" s="157" t="s">
        <v>95</v>
      </c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832"/>
    </row>
    <row r="286" spans="1:19" ht="21" customHeight="1">
      <c r="A286" s="157"/>
      <c r="B286" s="157"/>
      <c r="C286" s="157" t="s">
        <v>96</v>
      </c>
      <c r="D286" s="195">
        <f>D284*D285</f>
        <v>5200</v>
      </c>
      <c r="E286" s="157" t="s">
        <v>816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832"/>
    </row>
    <row r="287" spans="1:19" ht="21" customHeight="1">
      <c r="A287" s="157"/>
      <c r="B287" s="157" t="s">
        <v>562</v>
      </c>
      <c r="C287" s="165" t="s">
        <v>463</v>
      </c>
      <c r="D287" s="165" t="s">
        <v>465</v>
      </c>
      <c r="E287" s="165"/>
      <c r="F287" s="157"/>
      <c r="G287" s="836" t="s">
        <v>778</v>
      </c>
      <c r="H287" s="836"/>
      <c r="I287" s="836"/>
      <c r="J287" s="836"/>
      <c r="K287" s="836"/>
      <c r="L287" s="836"/>
      <c r="M287" s="836"/>
      <c r="N287" s="836"/>
      <c r="O287" s="836"/>
      <c r="P287" s="836"/>
      <c r="Q287" s="836"/>
      <c r="R287" s="836"/>
      <c r="S287" s="832"/>
    </row>
    <row r="288" spans="1:19" ht="21" customHeight="1">
      <c r="A288" s="157"/>
      <c r="B288" s="175" t="s">
        <v>788</v>
      </c>
      <c r="C288" s="176">
        <v>100000001</v>
      </c>
      <c r="D288" s="195">
        <v>20</v>
      </c>
      <c r="E288" s="198" t="s">
        <v>821</v>
      </c>
      <c r="F288" s="157"/>
      <c r="G288" s="172">
        <f>D286</f>
        <v>5200</v>
      </c>
      <c r="H288" s="165" t="s">
        <v>787</v>
      </c>
      <c r="I288" s="165">
        <f>D288</f>
        <v>20</v>
      </c>
      <c r="J288" s="157" t="s">
        <v>822</v>
      </c>
      <c r="K288" s="157"/>
      <c r="L288" s="157" t="s">
        <v>783</v>
      </c>
      <c r="M288" s="172">
        <f>C288</f>
        <v>100000001</v>
      </c>
      <c r="N288" s="157"/>
      <c r="O288" s="157" t="s">
        <v>784</v>
      </c>
      <c r="P288" s="157"/>
      <c r="Q288" s="199">
        <f>ROUND(G288*I288*100/M288,4)</f>
        <v>0.104</v>
      </c>
      <c r="R288" s="157"/>
      <c r="S288" s="832"/>
    </row>
    <row r="289" spans="1:19" ht="21" customHeight="1">
      <c r="A289" s="157"/>
      <c r="B289" s="157"/>
      <c r="C289" s="176">
        <v>150000000</v>
      </c>
      <c r="D289" s="195">
        <v>22</v>
      </c>
      <c r="E289" s="198" t="s">
        <v>821</v>
      </c>
      <c r="F289" s="157"/>
      <c r="G289" s="172">
        <f>D286</f>
        <v>5200</v>
      </c>
      <c r="H289" s="165" t="s">
        <v>787</v>
      </c>
      <c r="I289" s="165">
        <f>D289</f>
        <v>22</v>
      </c>
      <c r="J289" s="157" t="s">
        <v>822</v>
      </c>
      <c r="K289" s="157"/>
      <c r="L289" s="157" t="s">
        <v>783</v>
      </c>
      <c r="M289" s="172">
        <f>C289</f>
        <v>150000000</v>
      </c>
      <c r="N289" s="157"/>
      <c r="O289" s="157" t="s">
        <v>784</v>
      </c>
      <c r="P289" s="157"/>
      <c r="Q289" s="199">
        <f>ROUND(G289*I289*100/M289,4)</f>
        <v>0.0763</v>
      </c>
      <c r="R289" s="157"/>
      <c r="S289" s="832"/>
    </row>
    <row r="290" spans="1:19" ht="21" customHeight="1">
      <c r="A290" s="157"/>
      <c r="B290" s="157"/>
      <c r="C290" s="176">
        <v>200000000</v>
      </c>
      <c r="D290" s="195">
        <v>24</v>
      </c>
      <c r="E290" s="198" t="s">
        <v>821</v>
      </c>
      <c r="F290" s="157"/>
      <c r="G290" s="172">
        <f>D286</f>
        <v>5200</v>
      </c>
      <c r="H290" s="165" t="s">
        <v>787</v>
      </c>
      <c r="I290" s="165">
        <f>D290</f>
        <v>24</v>
      </c>
      <c r="J290" s="157" t="s">
        <v>822</v>
      </c>
      <c r="K290" s="157"/>
      <c r="L290" s="157" t="s">
        <v>783</v>
      </c>
      <c r="M290" s="172">
        <f>C290</f>
        <v>200000000</v>
      </c>
      <c r="N290" s="157"/>
      <c r="O290" s="157" t="s">
        <v>784</v>
      </c>
      <c r="P290" s="157"/>
      <c r="Q290" s="199">
        <f>ROUND(G290*I290*100/M290,4)</f>
        <v>0.0624</v>
      </c>
      <c r="R290" s="157"/>
      <c r="S290" s="832"/>
    </row>
    <row r="291" spans="1:19" ht="21" customHeight="1">
      <c r="A291" s="157"/>
      <c r="B291" s="157"/>
      <c r="C291" s="176">
        <v>250000000</v>
      </c>
      <c r="D291" s="195">
        <v>28</v>
      </c>
      <c r="E291" s="198" t="s">
        <v>821</v>
      </c>
      <c r="F291" s="157"/>
      <c r="G291" s="172">
        <f>D286</f>
        <v>5200</v>
      </c>
      <c r="H291" s="165" t="s">
        <v>787</v>
      </c>
      <c r="I291" s="165">
        <f>D291</f>
        <v>28</v>
      </c>
      <c r="J291" s="157" t="s">
        <v>822</v>
      </c>
      <c r="K291" s="157"/>
      <c r="L291" s="157" t="s">
        <v>783</v>
      </c>
      <c r="M291" s="172">
        <f>C291</f>
        <v>250000000</v>
      </c>
      <c r="N291" s="157"/>
      <c r="O291" s="157" t="s">
        <v>784</v>
      </c>
      <c r="P291" s="157"/>
      <c r="Q291" s="199">
        <f>ROUND(G291*I291*100/M291,4)</f>
        <v>0.0582</v>
      </c>
      <c r="R291" s="157"/>
      <c r="S291" s="832"/>
    </row>
    <row r="292" spans="1:19" ht="21" customHeight="1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200" t="s">
        <v>823</v>
      </c>
      <c r="N292" s="157"/>
      <c r="O292" s="157" t="s">
        <v>784</v>
      </c>
      <c r="P292" s="157"/>
      <c r="Q292" s="201">
        <f>ROUND((Q288+Q289+Q290+Q291)/4,4)</f>
        <v>0.0752</v>
      </c>
      <c r="R292" s="157"/>
      <c r="S292" s="832"/>
    </row>
    <row r="293" spans="1:19" ht="21" customHeight="1">
      <c r="A293" s="157"/>
      <c r="B293" s="157" t="s">
        <v>102</v>
      </c>
      <c r="C293" s="164" t="s">
        <v>103</v>
      </c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832"/>
    </row>
    <row r="294" spans="1:19" ht="21" customHeight="1">
      <c r="A294" s="157"/>
      <c r="B294" s="157"/>
      <c r="C294" s="157" t="s">
        <v>93</v>
      </c>
      <c r="D294" s="195">
        <v>1300</v>
      </c>
      <c r="E294" s="157" t="s">
        <v>816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832"/>
    </row>
    <row r="295" spans="1:19" ht="21" customHeight="1">
      <c r="A295" s="157"/>
      <c r="B295" s="157"/>
      <c r="C295" s="157" t="s">
        <v>94</v>
      </c>
      <c r="D295" s="195">
        <v>6</v>
      </c>
      <c r="E295" s="157" t="s">
        <v>95</v>
      </c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832"/>
    </row>
    <row r="296" spans="1:19" ht="21" customHeight="1">
      <c r="A296" s="157"/>
      <c r="B296" s="157"/>
      <c r="C296" s="157" t="s">
        <v>96</v>
      </c>
      <c r="D296" s="195">
        <f>D294*D295</f>
        <v>7800</v>
      </c>
      <c r="E296" s="157" t="s">
        <v>816</v>
      </c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832"/>
    </row>
    <row r="297" spans="1:19" ht="21" customHeight="1">
      <c r="A297" s="835" t="s">
        <v>104</v>
      </c>
      <c r="B297" s="835"/>
      <c r="C297" s="835"/>
      <c r="D297" s="835"/>
      <c r="E297" s="835"/>
      <c r="F297" s="835"/>
      <c r="G297" s="835"/>
      <c r="H297" s="835"/>
      <c r="I297" s="835"/>
      <c r="J297" s="835"/>
      <c r="K297" s="835"/>
      <c r="L297" s="835"/>
      <c r="M297" s="835"/>
      <c r="N297" s="835"/>
      <c r="O297" s="835"/>
      <c r="P297" s="835"/>
      <c r="Q297" s="835"/>
      <c r="R297" s="835"/>
      <c r="S297" s="832"/>
    </row>
    <row r="298" ht="21" customHeight="1">
      <c r="S298" s="832" t="s">
        <v>105</v>
      </c>
    </row>
    <row r="299" spans="1:19" ht="21" customHeight="1">
      <c r="A299" s="157"/>
      <c r="B299" s="157" t="s">
        <v>562</v>
      </c>
      <c r="C299" s="165" t="s">
        <v>463</v>
      </c>
      <c r="D299" s="165" t="s">
        <v>465</v>
      </c>
      <c r="E299" s="165"/>
      <c r="F299" s="157"/>
      <c r="G299" s="836" t="s">
        <v>778</v>
      </c>
      <c r="H299" s="836"/>
      <c r="I299" s="836"/>
      <c r="J299" s="836"/>
      <c r="K299" s="836"/>
      <c r="L299" s="836"/>
      <c r="M299" s="836"/>
      <c r="N299" s="836"/>
      <c r="O299" s="836"/>
      <c r="P299" s="836"/>
      <c r="Q299" s="836"/>
      <c r="R299" s="836"/>
      <c r="S299" s="832"/>
    </row>
    <row r="300" spans="1:19" ht="21" customHeight="1">
      <c r="A300" s="157"/>
      <c r="B300" s="175" t="s">
        <v>788</v>
      </c>
      <c r="C300" s="176">
        <v>250000001</v>
      </c>
      <c r="D300" s="195">
        <v>28</v>
      </c>
      <c r="E300" s="198" t="s">
        <v>821</v>
      </c>
      <c r="F300" s="157"/>
      <c r="G300" s="172">
        <f>D296</f>
        <v>7800</v>
      </c>
      <c r="H300" s="165" t="s">
        <v>787</v>
      </c>
      <c r="I300" s="165">
        <f>D300</f>
        <v>28</v>
      </c>
      <c r="J300" s="157" t="s">
        <v>822</v>
      </c>
      <c r="K300" s="157"/>
      <c r="L300" s="157" t="s">
        <v>783</v>
      </c>
      <c r="M300" s="172">
        <f>C300</f>
        <v>250000001</v>
      </c>
      <c r="N300" s="157"/>
      <c r="O300" s="157" t="s">
        <v>784</v>
      </c>
      <c r="P300" s="157"/>
      <c r="Q300" s="199">
        <f>ROUND(G300*I300*100/M300,4)</f>
        <v>0.0874</v>
      </c>
      <c r="R300" s="157"/>
      <c r="S300" s="832"/>
    </row>
    <row r="301" spans="1:19" ht="21" customHeight="1">
      <c r="A301" s="157"/>
      <c r="B301" s="157"/>
      <c r="C301" s="176">
        <v>300000000</v>
      </c>
      <c r="D301" s="195">
        <v>30</v>
      </c>
      <c r="E301" s="198" t="s">
        <v>821</v>
      </c>
      <c r="F301" s="157"/>
      <c r="G301" s="172">
        <f>D296</f>
        <v>7800</v>
      </c>
      <c r="H301" s="165" t="s">
        <v>787</v>
      </c>
      <c r="I301" s="165">
        <f>D301</f>
        <v>30</v>
      </c>
      <c r="J301" s="157" t="s">
        <v>822</v>
      </c>
      <c r="K301" s="157"/>
      <c r="L301" s="157" t="s">
        <v>783</v>
      </c>
      <c r="M301" s="172">
        <f>C301</f>
        <v>300000000</v>
      </c>
      <c r="N301" s="157"/>
      <c r="O301" s="157" t="s">
        <v>784</v>
      </c>
      <c r="P301" s="157"/>
      <c r="Q301" s="199">
        <f>ROUND(G301*I301*100/M301,4)</f>
        <v>0.078</v>
      </c>
      <c r="R301" s="157"/>
      <c r="S301" s="832"/>
    </row>
    <row r="302" spans="1:19" ht="21" customHeight="1">
      <c r="A302" s="157"/>
      <c r="B302" s="157"/>
      <c r="C302" s="176">
        <v>350000000</v>
      </c>
      <c r="D302" s="195">
        <v>32</v>
      </c>
      <c r="E302" s="198" t="s">
        <v>821</v>
      </c>
      <c r="F302" s="157"/>
      <c r="G302" s="172">
        <f>D296</f>
        <v>7800</v>
      </c>
      <c r="H302" s="165" t="s">
        <v>787</v>
      </c>
      <c r="I302" s="165">
        <f>D302</f>
        <v>32</v>
      </c>
      <c r="J302" s="157" t="s">
        <v>822</v>
      </c>
      <c r="K302" s="157"/>
      <c r="L302" s="157" t="s">
        <v>783</v>
      </c>
      <c r="M302" s="172">
        <f>C302</f>
        <v>350000000</v>
      </c>
      <c r="N302" s="157"/>
      <c r="O302" s="157" t="s">
        <v>784</v>
      </c>
      <c r="P302" s="157"/>
      <c r="Q302" s="199">
        <f>ROUND(G302*I302*100/M302,4)</f>
        <v>0.0713</v>
      </c>
      <c r="R302" s="157"/>
      <c r="S302" s="832"/>
    </row>
    <row r="303" spans="1:19" ht="21" customHeight="1">
      <c r="A303" s="157"/>
      <c r="B303" s="157"/>
      <c r="C303" s="176">
        <v>400000000</v>
      </c>
      <c r="D303" s="195">
        <v>36</v>
      </c>
      <c r="E303" s="198" t="s">
        <v>821</v>
      </c>
      <c r="F303" s="157"/>
      <c r="G303" s="172">
        <f>D296</f>
        <v>7800</v>
      </c>
      <c r="H303" s="165" t="s">
        <v>787</v>
      </c>
      <c r="I303" s="165">
        <f>D303</f>
        <v>36</v>
      </c>
      <c r="J303" s="157" t="s">
        <v>822</v>
      </c>
      <c r="K303" s="157"/>
      <c r="L303" s="157" t="s">
        <v>783</v>
      </c>
      <c r="M303" s="172">
        <f>C303</f>
        <v>400000000</v>
      </c>
      <c r="N303" s="157"/>
      <c r="O303" s="157" t="s">
        <v>784</v>
      </c>
      <c r="P303" s="157"/>
      <c r="Q303" s="199">
        <f>ROUND(G303*I303*100/M303,4)</f>
        <v>0.0702</v>
      </c>
      <c r="R303" s="157"/>
      <c r="S303" s="832"/>
    </row>
    <row r="304" spans="1:19" ht="21" customHeight="1">
      <c r="A304" s="157"/>
      <c r="B304" s="157"/>
      <c r="C304" s="176">
        <v>500000000</v>
      </c>
      <c r="D304" s="195">
        <v>36</v>
      </c>
      <c r="E304" s="198" t="s">
        <v>821</v>
      </c>
      <c r="F304" s="157"/>
      <c r="G304" s="172">
        <f>D296</f>
        <v>7800</v>
      </c>
      <c r="H304" s="165" t="s">
        <v>787</v>
      </c>
      <c r="I304" s="165">
        <f>D304</f>
        <v>36</v>
      </c>
      <c r="J304" s="157" t="s">
        <v>822</v>
      </c>
      <c r="K304" s="157"/>
      <c r="L304" s="157" t="s">
        <v>783</v>
      </c>
      <c r="M304" s="172">
        <f>C304</f>
        <v>500000000</v>
      </c>
      <c r="N304" s="157"/>
      <c r="O304" s="157" t="s">
        <v>784</v>
      </c>
      <c r="P304" s="157"/>
      <c r="Q304" s="199">
        <f>ROUND(G304*I304*100/M304,4)</f>
        <v>0.0562</v>
      </c>
      <c r="R304" s="157"/>
      <c r="S304" s="832"/>
    </row>
    <row r="305" spans="1:19" ht="21" customHeight="1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200" t="s">
        <v>823</v>
      </c>
      <c r="N305" s="157"/>
      <c r="O305" s="157" t="s">
        <v>784</v>
      </c>
      <c r="P305" s="157"/>
      <c r="Q305" s="201">
        <f>ROUND((Q300+Q301+Q302+Q303+Q304)/5,4)</f>
        <v>0.0726</v>
      </c>
      <c r="R305" s="157"/>
      <c r="S305" s="832"/>
    </row>
    <row r="306" spans="1:19" ht="21" customHeight="1">
      <c r="A306" s="157"/>
      <c r="B306" s="157" t="s">
        <v>106</v>
      </c>
      <c r="C306" s="164" t="s">
        <v>476</v>
      </c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832"/>
    </row>
    <row r="307" spans="1:19" ht="21" customHeight="1">
      <c r="A307" s="157"/>
      <c r="B307" s="157"/>
      <c r="C307" s="157" t="s">
        <v>93</v>
      </c>
      <c r="D307" s="195">
        <v>1300</v>
      </c>
      <c r="E307" s="157" t="s">
        <v>816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832"/>
    </row>
    <row r="308" spans="1:19" ht="21" customHeight="1">
      <c r="A308" s="157"/>
      <c r="B308" s="157"/>
      <c r="C308" s="157" t="s">
        <v>94</v>
      </c>
      <c r="D308" s="195">
        <v>8</v>
      </c>
      <c r="E308" s="157" t="s">
        <v>95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832"/>
    </row>
    <row r="309" spans="1:19" ht="21" customHeight="1">
      <c r="A309" s="157"/>
      <c r="B309" s="157"/>
      <c r="C309" s="157" t="s">
        <v>96</v>
      </c>
      <c r="D309" s="195">
        <f>D307*D308</f>
        <v>10400</v>
      </c>
      <c r="E309" s="157" t="s">
        <v>816</v>
      </c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832"/>
    </row>
    <row r="310" spans="1:19" ht="21" customHeight="1">
      <c r="A310" s="157"/>
      <c r="B310" s="157" t="s">
        <v>562</v>
      </c>
      <c r="C310" s="165" t="s">
        <v>463</v>
      </c>
      <c r="D310" s="165" t="s">
        <v>465</v>
      </c>
      <c r="E310" s="165"/>
      <c r="F310" s="157"/>
      <c r="G310" s="836" t="s">
        <v>778</v>
      </c>
      <c r="H310" s="836"/>
      <c r="I310" s="836"/>
      <c r="J310" s="836"/>
      <c r="K310" s="836"/>
      <c r="L310" s="836"/>
      <c r="M310" s="836"/>
      <c r="N310" s="836"/>
      <c r="O310" s="836"/>
      <c r="P310" s="836"/>
      <c r="Q310" s="836"/>
      <c r="R310" s="836"/>
      <c r="S310" s="832"/>
    </row>
    <row r="311" spans="1:19" ht="21" customHeight="1">
      <c r="A311" s="157"/>
      <c r="B311" s="175" t="s">
        <v>788</v>
      </c>
      <c r="C311" s="176">
        <v>500000001</v>
      </c>
      <c r="D311" s="195">
        <v>36</v>
      </c>
      <c r="E311" s="198" t="s">
        <v>821</v>
      </c>
      <c r="F311" s="157"/>
      <c r="G311" s="172">
        <f>D309</f>
        <v>10400</v>
      </c>
      <c r="H311" s="165" t="s">
        <v>787</v>
      </c>
      <c r="I311" s="165">
        <f>D311</f>
        <v>36</v>
      </c>
      <c r="J311" s="157" t="s">
        <v>822</v>
      </c>
      <c r="K311" s="157"/>
      <c r="L311" s="157" t="s">
        <v>783</v>
      </c>
      <c r="M311" s="172">
        <f>C311</f>
        <v>500000001</v>
      </c>
      <c r="N311" s="157"/>
      <c r="O311" s="157" t="s">
        <v>784</v>
      </c>
      <c r="P311" s="157"/>
      <c r="Q311" s="199">
        <f>ROUND(G311*I311*100/M311,4)</f>
        <v>0.0749</v>
      </c>
      <c r="R311" s="157"/>
      <c r="S311" s="832"/>
    </row>
    <row r="312" spans="1:19" ht="21" customHeight="1">
      <c r="A312" s="157"/>
      <c r="B312" s="157"/>
      <c r="C312" s="176">
        <v>1000000000</v>
      </c>
      <c r="D312" s="195">
        <v>40</v>
      </c>
      <c r="E312" s="198" t="s">
        <v>821</v>
      </c>
      <c r="F312" s="157"/>
      <c r="G312" s="172">
        <f>D309</f>
        <v>10400</v>
      </c>
      <c r="H312" s="165" t="s">
        <v>787</v>
      </c>
      <c r="I312" s="165">
        <f>D312</f>
        <v>40</v>
      </c>
      <c r="J312" s="157" t="s">
        <v>822</v>
      </c>
      <c r="K312" s="157"/>
      <c r="L312" s="157" t="s">
        <v>783</v>
      </c>
      <c r="M312" s="172">
        <f>C312</f>
        <v>1000000000</v>
      </c>
      <c r="N312" s="157"/>
      <c r="O312" s="157" t="s">
        <v>784</v>
      </c>
      <c r="P312" s="157"/>
      <c r="Q312" s="199">
        <f>ROUND(G312*I312*100/M312,4)</f>
        <v>0.0416</v>
      </c>
      <c r="R312" s="157"/>
      <c r="S312" s="832"/>
    </row>
    <row r="313" spans="1:19" ht="21" customHeight="1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200" t="s">
        <v>823</v>
      </c>
      <c r="N313" s="157"/>
      <c r="O313" s="157" t="s">
        <v>784</v>
      </c>
      <c r="P313" s="157"/>
      <c r="Q313" s="201">
        <f>ROUND((Q311+Q312)/2,4)</f>
        <v>0.0583</v>
      </c>
      <c r="R313" s="157"/>
      <c r="S313" s="832"/>
    </row>
    <row r="314" spans="1:19" ht="21" customHeight="1">
      <c r="A314" s="157"/>
      <c r="B314" s="222" t="s">
        <v>519</v>
      </c>
      <c r="C314" s="223" t="s">
        <v>107</v>
      </c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832"/>
    </row>
    <row r="315" spans="1:19" ht="21" customHeight="1">
      <c r="A315" s="157"/>
      <c r="B315" s="224"/>
      <c r="C315" s="224" t="s">
        <v>108</v>
      </c>
      <c r="D315" s="224"/>
      <c r="E315" s="224"/>
      <c r="F315" s="225" t="s">
        <v>789</v>
      </c>
      <c r="G315" s="226">
        <f>Q255</f>
        <v>0.3432</v>
      </c>
      <c r="H315" s="224"/>
      <c r="I315" s="227" t="s">
        <v>53</v>
      </c>
      <c r="J315" s="224"/>
      <c r="K315" s="224"/>
      <c r="L315" s="224"/>
      <c r="M315" s="224"/>
      <c r="N315" s="224"/>
      <c r="O315" s="224"/>
      <c r="P315" s="224"/>
      <c r="Q315" s="224"/>
      <c r="R315" s="224"/>
      <c r="S315" s="832"/>
    </row>
    <row r="316" spans="1:19" ht="21" customHeight="1">
      <c r="A316" s="157"/>
      <c r="B316" s="224"/>
      <c r="C316" s="224" t="s">
        <v>109</v>
      </c>
      <c r="D316" s="224"/>
      <c r="E316" s="224"/>
      <c r="F316" s="225" t="s">
        <v>789</v>
      </c>
      <c r="G316" s="226">
        <f>Q265</f>
        <v>0.1281</v>
      </c>
      <c r="H316" s="224"/>
      <c r="I316" s="227" t="s">
        <v>53</v>
      </c>
      <c r="J316" s="224"/>
      <c r="K316" s="224"/>
      <c r="L316" s="224"/>
      <c r="M316" s="224"/>
      <c r="N316" s="224"/>
      <c r="O316" s="224"/>
      <c r="P316" s="224"/>
      <c r="Q316" s="224"/>
      <c r="R316" s="224"/>
      <c r="S316" s="832"/>
    </row>
    <row r="317" spans="1:19" ht="21" customHeight="1">
      <c r="A317" s="157"/>
      <c r="B317" s="224"/>
      <c r="C317" s="224" t="s">
        <v>110</v>
      </c>
      <c r="D317" s="224"/>
      <c r="E317" s="224"/>
      <c r="F317" s="225" t="s">
        <v>789</v>
      </c>
      <c r="G317" s="226">
        <f>Q282</f>
        <v>0.0939</v>
      </c>
      <c r="H317" s="224"/>
      <c r="I317" s="227" t="s">
        <v>53</v>
      </c>
      <c r="J317" s="224"/>
      <c r="K317" s="224"/>
      <c r="L317" s="224"/>
      <c r="M317" s="224"/>
      <c r="N317" s="224"/>
      <c r="O317" s="224"/>
      <c r="P317" s="224"/>
      <c r="Q317" s="224"/>
      <c r="R317" s="224"/>
      <c r="S317" s="832"/>
    </row>
    <row r="318" spans="1:19" ht="21" customHeight="1">
      <c r="A318" s="157"/>
      <c r="B318" s="224"/>
      <c r="C318" s="224" t="s">
        <v>111</v>
      </c>
      <c r="D318" s="224"/>
      <c r="E318" s="224"/>
      <c r="F318" s="225" t="s">
        <v>789</v>
      </c>
      <c r="G318" s="226">
        <f>Q292</f>
        <v>0.0752</v>
      </c>
      <c r="H318" s="224"/>
      <c r="I318" s="227" t="s">
        <v>53</v>
      </c>
      <c r="J318" s="224"/>
      <c r="K318" s="224"/>
      <c r="L318" s="224"/>
      <c r="M318" s="224"/>
      <c r="N318" s="224"/>
      <c r="O318" s="224"/>
      <c r="P318" s="224"/>
      <c r="Q318" s="224"/>
      <c r="R318" s="224"/>
      <c r="S318" s="832"/>
    </row>
    <row r="319" spans="1:19" ht="21" customHeight="1">
      <c r="A319" s="157"/>
      <c r="B319" s="224"/>
      <c r="C319" s="224" t="s">
        <v>112</v>
      </c>
      <c r="D319" s="224"/>
      <c r="E319" s="224"/>
      <c r="F319" s="225" t="s">
        <v>789</v>
      </c>
      <c r="G319" s="226">
        <f>Q305</f>
        <v>0.0726</v>
      </c>
      <c r="H319" s="224"/>
      <c r="I319" s="227" t="s">
        <v>53</v>
      </c>
      <c r="J319" s="224"/>
      <c r="K319" s="224"/>
      <c r="L319" s="224"/>
      <c r="M319" s="224"/>
      <c r="N319" s="224"/>
      <c r="O319" s="224"/>
      <c r="P319" s="224"/>
      <c r="Q319" s="224"/>
      <c r="R319" s="224"/>
      <c r="S319" s="832"/>
    </row>
    <row r="320" spans="1:19" ht="21" customHeight="1">
      <c r="A320" s="157"/>
      <c r="B320" s="224"/>
      <c r="C320" s="224" t="s">
        <v>113</v>
      </c>
      <c r="D320" s="224"/>
      <c r="E320" s="224"/>
      <c r="F320" s="225" t="s">
        <v>789</v>
      </c>
      <c r="G320" s="226">
        <f>Q313</f>
        <v>0.0583</v>
      </c>
      <c r="H320" s="224"/>
      <c r="I320" s="227" t="s">
        <v>53</v>
      </c>
      <c r="J320" s="224"/>
      <c r="K320" s="224"/>
      <c r="L320" s="224"/>
      <c r="M320" s="224"/>
      <c r="N320" s="224"/>
      <c r="O320" s="224"/>
      <c r="P320" s="224"/>
      <c r="Q320" s="224"/>
      <c r="R320" s="224"/>
      <c r="S320" s="832"/>
    </row>
    <row r="321" spans="1:19" ht="21" customHeight="1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832"/>
    </row>
    <row r="322" spans="1:19" ht="21" customHeight="1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832"/>
    </row>
    <row r="323" spans="1:19" ht="21" customHeight="1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832"/>
    </row>
    <row r="324" spans="1:19" ht="21" customHeight="1">
      <c r="A324" s="835" t="s">
        <v>114</v>
      </c>
      <c r="B324" s="835"/>
      <c r="C324" s="835"/>
      <c r="D324" s="835"/>
      <c r="E324" s="835"/>
      <c r="F324" s="835"/>
      <c r="G324" s="835"/>
      <c r="H324" s="835"/>
      <c r="I324" s="835"/>
      <c r="J324" s="835"/>
      <c r="K324" s="835"/>
      <c r="L324" s="835"/>
      <c r="M324" s="835"/>
      <c r="N324" s="835"/>
      <c r="O324" s="835"/>
      <c r="P324" s="835"/>
      <c r="Q324" s="835"/>
      <c r="R324" s="835"/>
      <c r="S324" s="832"/>
    </row>
    <row r="325" spans="1:19" ht="21" customHeight="1">
      <c r="A325" s="157"/>
      <c r="B325" s="162" t="s">
        <v>115</v>
      </c>
      <c r="C325" s="162" t="s">
        <v>116</v>
      </c>
      <c r="D325" s="163"/>
      <c r="E325" s="163"/>
      <c r="F325" s="163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832" t="s">
        <v>117</v>
      </c>
    </row>
    <row r="326" spans="1:19" ht="21" customHeight="1">
      <c r="A326" s="157"/>
      <c r="B326" s="164" t="s">
        <v>118</v>
      </c>
      <c r="C326" s="210" t="s">
        <v>119</v>
      </c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832"/>
    </row>
    <row r="327" spans="1:19" ht="21" customHeight="1">
      <c r="A327" s="157"/>
      <c r="B327" s="228"/>
      <c r="C327" s="212" t="s">
        <v>477</v>
      </c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832"/>
    </row>
    <row r="328" spans="1:19" ht="21" customHeight="1">
      <c r="A328" s="157"/>
      <c r="B328" s="228"/>
      <c r="C328" s="157" t="s">
        <v>120</v>
      </c>
      <c r="D328" s="157"/>
      <c r="E328" s="166">
        <v>180</v>
      </c>
      <c r="F328" s="157"/>
      <c r="G328" s="157" t="s">
        <v>121</v>
      </c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832"/>
    </row>
    <row r="329" spans="1:19" ht="21" customHeight="1">
      <c r="A329" s="157"/>
      <c r="B329" s="228"/>
      <c r="C329" s="157" t="s">
        <v>122</v>
      </c>
      <c r="D329" s="157"/>
      <c r="E329" s="229">
        <v>1.5</v>
      </c>
      <c r="F329" s="157"/>
      <c r="G329" s="157" t="s">
        <v>123</v>
      </c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832"/>
    </row>
    <row r="330" spans="1:19" ht="21" customHeight="1">
      <c r="A330" s="157"/>
      <c r="B330" s="228"/>
      <c r="C330" s="157" t="s">
        <v>124</v>
      </c>
      <c r="D330" s="165" t="s">
        <v>125</v>
      </c>
      <c r="E330" s="230">
        <v>0.3</v>
      </c>
      <c r="F330" s="157"/>
      <c r="G330" s="157" t="s">
        <v>126</v>
      </c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832"/>
    </row>
    <row r="331" spans="1:19" ht="21" customHeight="1">
      <c r="A331" s="157"/>
      <c r="B331" s="228"/>
      <c r="C331" s="157" t="s">
        <v>127</v>
      </c>
      <c r="D331" s="165" t="s">
        <v>125</v>
      </c>
      <c r="E331" s="157" t="s">
        <v>128</v>
      </c>
      <c r="F331" s="157" t="s">
        <v>789</v>
      </c>
      <c r="G331" s="231">
        <f>E330/E328</f>
        <v>0.0016666666666666666</v>
      </c>
      <c r="H331" s="157"/>
      <c r="I331" s="157" t="s">
        <v>678</v>
      </c>
      <c r="J331" s="157"/>
      <c r="K331" s="157"/>
      <c r="L331" s="157"/>
      <c r="M331" s="157"/>
      <c r="N331" s="157"/>
      <c r="O331" s="157"/>
      <c r="P331" s="157"/>
      <c r="Q331" s="157"/>
      <c r="R331" s="157"/>
      <c r="S331" s="832"/>
    </row>
    <row r="332" spans="1:19" ht="21" customHeight="1">
      <c r="A332" s="157"/>
      <c r="B332" s="228"/>
      <c r="C332" s="157" t="s">
        <v>129</v>
      </c>
      <c r="D332" s="157"/>
      <c r="E332" s="157"/>
      <c r="F332" s="157" t="s">
        <v>789</v>
      </c>
      <c r="G332" s="232">
        <f>G331</f>
        <v>0.0016666666666666666</v>
      </c>
      <c r="H332" s="157"/>
      <c r="I332" s="157" t="s">
        <v>783</v>
      </c>
      <c r="J332" s="157">
        <v>30</v>
      </c>
      <c r="K332" s="157"/>
      <c r="L332" s="157" t="s">
        <v>784</v>
      </c>
      <c r="M332" s="232">
        <f>ROUND(G332/J332,6)</f>
        <v>5.6E-05</v>
      </c>
      <c r="N332" s="157"/>
      <c r="O332" s="157"/>
      <c r="P332" s="157"/>
      <c r="Q332" s="157"/>
      <c r="R332" s="157"/>
      <c r="S332" s="832"/>
    </row>
    <row r="333" spans="1:19" ht="21" customHeight="1">
      <c r="A333" s="157"/>
      <c r="B333" s="228"/>
      <c r="C333" s="157" t="s">
        <v>130</v>
      </c>
      <c r="D333" s="157"/>
      <c r="E333" s="157"/>
      <c r="F333" s="157" t="s">
        <v>789</v>
      </c>
      <c r="G333" s="232">
        <f>M332</f>
        <v>5.6E-05</v>
      </c>
      <c r="H333" s="157"/>
      <c r="I333" s="157" t="s">
        <v>783</v>
      </c>
      <c r="J333" s="233">
        <f>E329</f>
        <v>1.5</v>
      </c>
      <c r="K333" s="157"/>
      <c r="L333" s="157" t="s">
        <v>784</v>
      </c>
      <c r="M333" s="232">
        <f>ROUND(G333/J333,6)</f>
        <v>3.7E-05</v>
      </c>
      <c r="N333" s="157"/>
      <c r="O333" s="157"/>
      <c r="P333" s="157"/>
      <c r="Q333" s="157"/>
      <c r="R333" s="157"/>
      <c r="S333" s="832"/>
    </row>
    <row r="334" spans="1:19" ht="21" customHeight="1">
      <c r="A334" s="157"/>
      <c r="B334" s="157"/>
      <c r="C334" s="157" t="s">
        <v>131</v>
      </c>
      <c r="D334" s="157"/>
      <c r="E334" s="166">
        <v>3000</v>
      </c>
      <c r="F334" s="157"/>
      <c r="G334" s="157" t="s">
        <v>132</v>
      </c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832"/>
    </row>
    <row r="335" spans="1:19" ht="21" customHeight="1">
      <c r="A335" s="157"/>
      <c r="B335" s="157"/>
      <c r="C335" s="157" t="s">
        <v>133</v>
      </c>
      <c r="D335" s="157"/>
      <c r="E335" s="234">
        <f>E334/2</f>
        <v>1500</v>
      </c>
      <c r="F335" s="157"/>
      <c r="G335" s="157" t="s">
        <v>132</v>
      </c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832"/>
    </row>
    <row r="336" spans="1:19" ht="21" customHeight="1">
      <c r="A336" s="157"/>
      <c r="B336" s="157"/>
      <c r="C336" s="157" t="s">
        <v>134</v>
      </c>
      <c r="D336" s="157"/>
      <c r="E336" s="157"/>
      <c r="F336" s="157" t="s">
        <v>789</v>
      </c>
      <c r="G336" s="231">
        <f>M333</f>
        <v>3.7E-05</v>
      </c>
      <c r="H336" s="157"/>
      <c r="I336" s="157" t="s">
        <v>787</v>
      </c>
      <c r="J336" s="172">
        <f>E335</f>
        <v>1500</v>
      </c>
      <c r="K336" s="157"/>
      <c r="L336" s="157" t="s">
        <v>784</v>
      </c>
      <c r="M336" s="199">
        <f>ROUND(G336*J336,4)</f>
        <v>0.0555</v>
      </c>
      <c r="N336" s="157"/>
      <c r="O336" s="157"/>
      <c r="P336" s="157"/>
      <c r="Q336" s="157"/>
      <c r="R336" s="157"/>
      <c r="S336" s="832"/>
    </row>
    <row r="337" spans="1:19" ht="21" customHeight="1">
      <c r="A337" s="157"/>
      <c r="B337" s="157" t="s">
        <v>562</v>
      </c>
      <c r="C337" s="210" t="s">
        <v>135</v>
      </c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832"/>
    </row>
    <row r="338" spans="1:19" ht="21" customHeight="1">
      <c r="A338" s="157"/>
      <c r="B338" s="157"/>
      <c r="C338" s="157" t="s">
        <v>136</v>
      </c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832"/>
    </row>
    <row r="339" spans="1:19" ht="21" customHeight="1">
      <c r="A339" s="157"/>
      <c r="B339" s="157"/>
      <c r="C339" s="157" t="s">
        <v>137</v>
      </c>
      <c r="D339" s="157"/>
      <c r="E339" s="166">
        <v>3000</v>
      </c>
      <c r="F339" s="157"/>
      <c r="G339" s="157" t="s">
        <v>132</v>
      </c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832"/>
    </row>
    <row r="340" spans="1:19" ht="21" customHeight="1">
      <c r="A340" s="157"/>
      <c r="B340" s="157"/>
      <c r="C340" s="157" t="s">
        <v>138</v>
      </c>
      <c r="D340" s="157"/>
      <c r="E340" s="157"/>
      <c r="F340" s="157" t="s">
        <v>789</v>
      </c>
      <c r="G340" s="232">
        <f>M333</f>
        <v>3.7E-05</v>
      </c>
      <c r="H340" s="157"/>
      <c r="I340" s="157" t="s">
        <v>783</v>
      </c>
      <c r="J340" s="172">
        <v>10</v>
      </c>
      <c r="K340" s="157"/>
      <c r="L340" s="165" t="s">
        <v>787</v>
      </c>
      <c r="M340" s="172">
        <f>E339</f>
        <v>3000</v>
      </c>
      <c r="N340" s="157"/>
      <c r="O340" s="157" t="s">
        <v>784</v>
      </c>
      <c r="P340" s="157"/>
      <c r="Q340" s="235">
        <f>ROUND(G340/J340*M340,4)</f>
        <v>0.0111</v>
      </c>
      <c r="R340" s="157"/>
      <c r="S340" s="832"/>
    </row>
    <row r="341" spans="1:19" ht="21" customHeight="1">
      <c r="A341" s="157"/>
      <c r="B341" s="157"/>
      <c r="C341" s="157" t="s">
        <v>139</v>
      </c>
      <c r="D341" s="157"/>
      <c r="E341" s="157"/>
      <c r="F341" s="157" t="s">
        <v>789</v>
      </c>
      <c r="G341" s="235">
        <f>Q340</f>
        <v>0.0111</v>
      </c>
      <c r="H341" s="157"/>
      <c r="I341" s="157" t="s">
        <v>140</v>
      </c>
      <c r="J341" s="236">
        <f>M336</f>
        <v>0.0555</v>
      </c>
      <c r="K341" s="157"/>
      <c r="L341" s="157"/>
      <c r="M341" s="157"/>
      <c r="N341" s="157"/>
      <c r="O341" s="157" t="s">
        <v>784</v>
      </c>
      <c r="P341" s="157"/>
      <c r="Q341" s="235">
        <f>ROUND(G341+J341,4)</f>
        <v>0.0666</v>
      </c>
      <c r="R341" s="157"/>
      <c r="S341" s="832"/>
    </row>
    <row r="342" spans="1:19" ht="21" customHeight="1">
      <c r="A342" s="157"/>
      <c r="B342" s="157"/>
      <c r="C342" s="157" t="s">
        <v>141</v>
      </c>
      <c r="D342" s="157"/>
      <c r="E342" s="157"/>
      <c r="F342" s="157" t="s">
        <v>789</v>
      </c>
      <c r="G342" s="235">
        <f>Q341</f>
        <v>0.0666</v>
      </c>
      <c r="H342" s="157"/>
      <c r="I342" s="165" t="s">
        <v>787</v>
      </c>
      <c r="J342" s="157">
        <v>100</v>
      </c>
      <c r="K342" s="157"/>
      <c r="L342" s="157"/>
      <c r="M342" s="157"/>
      <c r="N342" s="157"/>
      <c r="O342" s="157" t="s">
        <v>784</v>
      </c>
      <c r="P342" s="157"/>
      <c r="Q342" s="178">
        <f>ROUND(G342*J342,4)</f>
        <v>6.66</v>
      </c>
      <c r="R342" s="157"/>
      <c r="S342" s="832"/>
    </row>
    <row r="343" spans="1:19" ht="21" customHeight="1">
      <c r="A343" s="157"/>
      <c r="B343" s="157"/>
      <c r="C343" s="157" t="s">
        <v>142</v>
      </c>
      <c r="D343" s="157"/>
      <c r="E343" s="157"/>
      <c r="F343" s="157" t="s">
        <v>789</v>
      </c>
      <c r="G343" s="237">
        <f>Q342</f>
        <v>6.66</v>
      </c>
      <c r="H343" s="157"/>
      <c r="I343" s="165" t="s">
        <v>787</v>
      </c>
      <c r="J343" s="157">
        <v>70</v>
      </c>
      <c r="K343" s="157"/>
      <c r="L343" s="165" t="s">
        <v>783</v>
      </c>
      <c r="M343" s="157">
        <v>100</v>
      </c>
      <c r="N343" s="157"/>
      <c r="O343" s="157" t="s">
        <v>784</v>
      </c>
      <c r="P343" s="157"/>
      <c r="Q343" s="201">
        <f>ROUND(G343*70/100,4)</f>
        <v>4.662</v>
      </c>
      <c r="R343" s="211" t="s">
        <v>143</v>
      </c>
      <c r="S343" s="832"/>
    </row>
    <row r="344" spans="1:19" ht="21" customHeight="1">
      <c r="A344" s="157"/>
      <c r="B344" s="157" t="s">
        <v>562</v>
      </c>
      <c r="C344" s="210" t="s">
        <v>144</v>
      </c>
      <c r="D344" s="157"/>
      <c r="E344" s="157"/>
      <c r="F344" s="157"/>
      <c r="G344" s="157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832"/>
    </row>
    <row r="345" spans="1:19" ht="21" customHeight="1">
      <c r="A345" s="157"/>
      <c r="B345" s="224" t="s">
        <v>562</v>
      </c>
      <c r="C345" s="225" t="s">
        <v>463</v>
      </c>
      <c r="D345" s="225" t="s">
        <v>478</v>
      </c>
      <c r="E345" s="225"/>
      <c r="F345" s="224"/>
      <c r="G345" s="842" t="s">
        <v>778</v>
      </c>
      <c r="H345" s="842"/>
      <c r="I345" s="842"/>
      <c r="J345" s="842"/>
      <c r="K345" s="842"/>
      <c r="L345" s="842"/>
      <c r="M345" s="842"/>
      <c r="N345" s="842"/>
      <c r="O345" s="842"/>
      <c r="P345" s="842"/>
      <c r="Q345" s="842"/>
      <c r="R345" s="842"/>
      <c r="S345" s="832"/>
    </row>
    <row r="346" spans="1:19" ht="21" customHeight="1">
      <c r="A346" s="157"/>
      <c r="B346" s="239" t="s">
        <v>788</v>
      </c>
      <c r="C346" s="240">
        <v>500000</v>
      </c>
      <c r="D346" s="224">
        <v>6</v>
      </c>
      <c r="E346" s="241" t="s">
        <v>681</v>
      </c>
      <c r="F346" s="224" t="s">
        <v>789</v>
      </c>
      <c r="G346" s="242">
        <f>Q343</f>
        <v>4.662</v>
      </c>
      <c r="H346" s="225"/>
      <c r="I346" s="225" t="s">
        <v>783</v>
      </c>
      <c r="J346" s="243">
        <f>D346</f>
        <v>6</v>
      </c>
      <c r="K346" s="224"/>
      <c r="L346" s="225"/>
      <c r="M346" s="225"/>
      <c r="N346" s="224"/>
      <c r="O346" s="224" t="s">
        <v>784</v>
      </c>
      <c r="P346" s="224"/>
      <c r="Q346" s="242">
        <f>ROUND(G346/J346,4)</f>
        <v>0.777</v>
      </c>
      <c r="R346" s="224"/>
      <c r="S346" s="832"/>
    </row>
    <row r="347" spans="1:19" ht="21" customHeight="1">
      <c r="A347" s="157"/>
      <c r="B347" s="224"/>
      <c r="C347" s="240">
        <v>1000000</v>
      </c>
      <c r="D347" s="224">
        <v>6</v>
      </c>
      <c r="E347" s="241" t="s">
        <v>681</v>
      </c>
      <c r="F347" s="224" t="s">
        <v>789</v>
      </c>
      <c r="G347" s="242">
        <f>Q343</f>
        <v>4.662</v>
      </c>
      <c r="H347" s="225"/>
      <c r="I347" s="225" t="s">
        <v>783</v>
      </c>
      <c r="J347" s="243">
        <f>D347</f>
        <v>6</v>
      </c>
      <c r="K347" s="224"/>
      <c r="L347" s="225"/>
      <c r="M347" s="225"/>
      <c r="N347" s="224"/>
      <c r="O347" s="224" t="s">
        <v>784</v>
      </c>
      <c r="P347" s="224"/>
      <c r="Q347" s="242">
        <f>ROUND(G347/J347,4)</f>
        <v>0.777</v>
      </c>
      <c r="R347" s="224"/>
      <c r="S347" s="832"/>
    </row>
    <row r="348" spans="1:19" ht="21" customHeight="1">
      <c r="A348" s="157"/>
      <c r="B348" s="224"/>
      <c r="C348" s="240">
        <v>2000000</v>
      </c>
      <c r="D348" s="224">
        <v>9</v>
      </c>
      <c r="E348" s="241" t="s">
        <v>681</v>
      </c>
      <c r="F348" s="224" t="s">
        <v>789</v>
      </c>
      <c r="G348" s="242">
        <f>Q343</f>
        <v>4.662</v>
      </c>
      <c r="H348" s="225"/>
      <c r="I348" s="225" t="s">
        <v>783</v>
      </c>
      <c r="J348" s="243">
        <f>D348</f>
        <v>9</v>
      </c>
      <c r="K348" s="224"/>
      <c r="L348" s="225"/>
      <c r="M348" s="225"/>
      <c r="N348" s="224"/>
      <c r="O348" s="224" t="s">
        <v>784</v>
      </c>
      <c r="P348" s="224"/>
      <c r="Q348" s="242">
        <f>ROUND(G348/J348,4)</f>
        <v>0.518</v>
      </c>
      <c r="R348" s="224"/>
      <c r="S348" s="832"/>
    </row>
    <row r="349" spans="1:19" ht="21" customHeight="1">
      <c r="A349" s="157"/>
      <c r="B349" s="224"/>
      <c r="C349" s="240">
        <v>5000000</v>
      </c>
      <c r="D349" s="224">
        <v>12</v>
      </c>
      <c r="E349" s="241" t="s">
        <v>681</v>
      </c>
      <c r="F349" s="224" t="s">
        <v>789</v>
      </c>
      <c r="G349" s="242">
        <f>Q343</f>
        <v>4.662</v>
      </c>
      <c r="H349" s="225"/>
      <c r="I349" s="225" t="s">
        <v>783</v>
      </c>
      <c r="J349" s="243">
        <f>D349</f>
        <v>12</v>
      </c>
      <c r="K349" s="224"/>
      <c r="L349" s="225"/>
      <c r="M349" s="225"/>
      <c r="N349" s="224"/>
      <c r="O349" s="224" t="s">
        <v>784</v>
      </c>
      <c r="P349" s="224"/>
      <c r="Q349" s="242">
        <f>ROUND(G349/J349,4)</f>
        <v>0.3885</v>
      </c>
      <c r="R349" s="224"/>
      <c r="S349" s="832"/>
    </row>
    <row r="350" spans="1:19" ht="21" customHeight="1">
      <c r="A350" s="157"/>
      <c r="B350" s="224"/>
      <c r="C350" s="240">
        <v>10000000</v>
      </c>
      <c r="D350" s="224">
        <v>15</v>
      </c>
      <c r="E350" s="241" t="s">
        <v>681</v>
      </c>
      <c r="F350" s="224" t="s">
        <v>789</v>
      </c>
      <c r="G350" s="242">
        <f>Q343</f>
        <v>4.662</v>
      </c>
      <c r="H350" s="225"/>
      <c r="I350" s="225" t="s">
        <v>783</v>
      </c>
      <c r="J350" s="243">
        <f>D350</f>
        <v>15</v>
      </c>
      <c r="K350" s="224"/>
      <c r="L350" s="225"/>
      <c r="M350" s="225"/>
      <c r="N350" s="224"/>
      <c r="O350" s="224" t="s">
        <v>784</v>
      </c>
      <c r="P350" s="224"/>
      <c r="Q350" s="242">
        <f>ROUND(G350/J350,4)</f>
        <v>0.3108</v>
      </c>
      <c r="R350" s="224"/>
      <c r="S350" s="832"/>
    </row>
    <row r="351" spans="1:19" ht="21" customHeight="1">
      <c r="A351" s="835" t="s">
        <v>145</v>
      </c>
      <c r="B351" s="835"/>
      <c r="C351" s="835"/>
      <c r="D351" s="835"/>
      <c r="E351" s="835"/>
      <c r="F351" s="835"/>
      <c r="G351" s="835"/>
      <c r="H351" s="835"/>
      <c r="I351" s="835"/>
      <c r="J351" s="835"/>
      <c r="K351" s="835"/>
      <c r="L351" s="835"/>
      <c r="M351" s="835"/>
      <c r="N351" s="835"/>
      <c r="O351" s="835"/>
      <c r="P351" s="835"/>
      <c r="Q351" s="835"/>
      <c r="R351" s="835"/>
      <c r="S351" s="832"/>
    </row>
    <row r="352" spans="1:19" ht="21" customHeight="1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832" t="s">
        <v>146</v>
      </c>
    </row>
    <row r="353" spans="1:19" ht="21" customHeight="1">
      <c r="A353" s="157"/>
      <c r="B353" s="224" t="s">
        <v>562</v>
      </c>
      <c r="C353" s="225" t="s">
        <v>463</v>
      </c>
      <c r="D353" s="225" t="s">
        <v>478</v>
      </c>
      <c r="E353" s="225"/>
      <c r="F353" s="224"/>
      <c r="G353" s="842" t="s">
        <v>778</v>
      </c>
      <c r="H353" s="842"/>
      <c r="I353" s="842"/>
      <c r="J353" s="842"/>
      <c r="K353" s="842"/>
      <c r="L353" s="842"/>
      <c r="M353" s="842"/>
      <c r="N353" s="842"/>
      <c r="O353" s="842"/>
      <c r="P353" s="842"/>
      <c r="Q353" s="842"/>
      <c r="R353" s="842"/>
      <c r="S353" s="832"/>
    </row>
    <row r="354" spans="1:19" ht="21" customHeight="1">
      <c r="A354" s="157"/>
      <c r="B354" s="239" t="s">
        <v>788</v>
      </c>
      <c r="C354" s="240">
        <v>15000000</v>
      </c>
      <c r="D354" s="224">
        <v>15</v>
      </c>
      <c r="E354" s="241" t="s">
        <v>681</v>
      </c>
      <c r="F354" s="224" t="s">
        <v>789</v>
      </c>
      <c r="G354" s="242">
        <f>Q343</f>
        <v>4.662</v>
      </c>
      <c r="H354" s="225"/>
      <c r="I354" s="225" t="s">
        <v>783</v>
      </c>
      <c r="J354" s="243">
        <f aca="true" t="shared" si="7" ref="J354:J372">D354</f>
        <v>15</v>
      </c>
      <c r="K354" s="224"/>
      <c r="L354" s="225"/>
      <c r="M354" s="225"/>
      <c r="N354" s="224"/>
      <c r="O354" s="224" t="s">
        <v>784</v>
      </c>
      <c r="P354" s="224"/>
      <c r="Q354" s="242">
        <f aca="true" t="shared" si="8" ref="Q354:Q372">ROUND(G354/J354,4)</f>
        <v>0.3108</v>
      </c>
      <c r="R354" s="224"/>
      <c r="S354" s="832"/>
    </row>
    <row r="355" spans="1:19" ht="21" customHeight="1">
      <c r="A355" s="157"/>
      <c r="B355" s="224"/>
      <c r="C355" s="240">
        <v>20000000</v>
      </c>
      <c r="D355" s="224">
        <v>16</v>
      </c>
      <c r="E355" s="241" t="s">
        <v>681</v>
      </c>
      <c r="F355" s="224" t="s">
        <v>789</v>
      </c>
      <c r="G355" s="242">
        <f>Q343</f>
        <v>4.662</v>
      </c>
      <c r="H355" s="225"/>
      <c r="I355" s="225" t="s">
        <v>783</v>
      </c>
      <c r="J355" s="243">
        <f t="shared" si="7"/>
        <v>16</v>
      </c>
      <c r="K355" s="224"/>
      <c r="L355" s="225"/>
      <c r="M355" s="225"/>
      <c r="N355" s="224"/>
      <c r="O355" s="224" t="s">
        <v>784</v>
      </c>
      <c r="P355" s="224"/>
      <c r="Q355" s="242">
        <f t="shared" si="8"/>
        <v>0.2914</v>
      </c>
      <c r="R355" s="224"/>
      <c r="S355" s="832"/>
    </row>
    <row r="356" spans="1:19" ht="21" customHeight="1">
      <c r="A356" s="157"/>
      <c r="B356" s="224"/>
      <c r="C356" s="240">
        <v>25000000</v>
      </c>
      <c r="D356" s="224">
        <v>16</v>
      </c>
      <c r="E356" s="241" t="s">
        <v>681</v>
      </c>
      <c r="F356" s="224" t="s">
        <v>789</v>
      </c>
      <c r="G356" s="242">
        <f>Q343</f>
        <v>4.662</v>
      </c>
      <c r="H356" s="225"/>
      <c r="I356" s="225" t="s">
        <v>783</v>
      </c>
      <c r="J356" s="243">
        <f t="shared" si="7"/>
        <v>16</v>
      </c>
      <c r="K356" s="224"/>
      <c r="L356" s="225"/>
      <c r="M356" s="225"/>
      <c r="N356" s="224"/>
      <c r="O356" s="224" t="s">
        <v>784</v>
      </c>
      <c r="P356" s="224"/>
      <c r="Q356" s="242">
        <f t="shared" si="8"/>
        <v>0.2914</v>
      </c>
      <c r="R356" s="224"/>
      <c r="S356" s="832"/>
    </row>
    <row r="357" spans="1:19" ht="21" customHeight="1">
      <c r="A357" s="157"/>
      <c r="B357" s="224"/>
      <c r="C357" s="240">
        <v>30000000</v>
      </c>
      <c r="D357" s="224">
        <v>17</v>
      </c>
      <c r="E357" s="241" t="s">
        <v>681</v>
      </c>
      <c r="F357" s="224" t="s">
        <v>789</v>
      </c>
      <c r="G357" s="242">
        <f>Q343</f>
        <v>4.662</v>
      </c>
      <c r="H357" s="225"/>
      <c r="I357" s="225" t="s">
        <v>783</v>
      </c>
      <c r="J357" s="243">
        <f t="shared" si="7"/>
        <v>17</v>
      </c>
      <c r="K357" s="224"/>
      <c r="L357" s="225"/>
      <c r="M357" s="225"/>
      <c r="N357" s="224"/>
      <c r="O357" s="224" t="s">
        <v>784</v>
      </c>
      <c r="P357" s="224"/>
      <c r="Q357" s="242">
        <f t="shared" si="8"/>
        <v>0.2742</v>
      </c>
      <c r="R357" s="224"/>
      <c r="S357" s="832"/>
    </row>
    <row r="358" spans="1:19" ht="21" customHeight="1">
      <c r="A358" s="157"/>
      <c r="B358" s="224"/>
      <c r="C358" s="240">
        <v>40000000</v>
      </c>
      <c r="D358" s="224">
        <v>17</v>
      </c>
      <c r="E358" s="241" t="s">
        <v>681</v>
      </c>
      <c r="F358" s="224" t="s">
        <v>789</v>
      </c>
      <c r="G358" s="242">
        <f>Q343</f>
        <v>4.662</v>
      </c>
      <c r="H358" s="225"/>
      <c r="I358" s="225" t="s">
        <v>783</v>
      </c>
      <c r="J358" s="243">
        <f t="shared" si="7"/>
        <v>17</v>
      </c>
      <c r="K358" s="224"/>
      <c r="L358" s="225"/>
      <c r="M358" s="225"/>
      <c r="N358" s="224"/>
      <c r="O358" s="224" t="s">
        <v>784</v>
      </c>
      <c r="P358" s="224"/>
      <c r="Q358" s="242">
        <f t="shared" si="8"/>
        <v>0.2742</v>
      </c>
      <c r="R358" s="224"/>
      <c r="S358" s="832"/>
    </row>
    <row r="359" spans="1:19" ht="21" customHeight="1">
      <c r="A359" s="157"/>
      <c r="B359" s="224"/>
      <c r="C359" s="240">
        <v>50000000</v>
      </c>
      <c r="D359" s="224">
        <v>18</v>
      </c>
      <c r="E359" s="241" t="s">
        <v>681</v>
      </c>
      <c r="F359" s="224" t="s">
        <v>789</v>
      </c>
      <c r="G359" s="242">
        <f>Q343</f>
        <v>4.662</v>
      </c>
      <c r="H359" s="225"/>
      <c r="I359" s="225" t="s">
        <v>783</v>
      </c>
      <c r="J359" s="243">
        <f t="shared" si="7"/>
        <v>18</v>
      </c>
      <c r="K359" s="224"/>
      <c r="L359" s="225"/>
      <c r="M359" s="225"/>
      <c r="N359" s="224"/>
      <c r="O359" s="224" t="s">
        <v>784</v>
      </c>
      <c r="P359" s="224"/>
      <c r="Q359" s="242">
        <f t="shared" si="8"/>
        <v>0.259</v>
      </c>
      <c r="R359" s="224"/>
      <c r="S359" s="832"/>
    </row>
    <row r="360" spans="1:19" ht="21" customHeight="1">
      <c r="A360" s="157"/>
      <c r="B360" s="224"/>
      <c r="C360" s="240">
        <v>60000000</v>
      </c>
      <c r="D360" s="224">
        <v>18</v>
      </c>
      <c r="E360" s="241" t="s">
        <v>681</v>
      </c>
      <c r="F360" s="224" t="s">
        <v>789</v>
      </c>
      <c r="G360" s="242">
        <f>Q343</f>
        <v>4.662</v>
      </c>
      <c r="H360" s="225"/>
      <c r="I360" s="225" t="s">
        <v>783</v>
      </c>
      <c r="J360" s="243">
        <f t="shared" si="7"/>
        <v>18</v>
      </c>
      <c r="K360" s="224"/>
      <c r="L360" s="225"/>
      <c r="M360" s="225"/>
      <c r="N360" s="224"/>
      <c r="O360" s="224" t="s">
        <v>784</v>
      </c>
      <c r="P360" s="224"/>
      <c r="Q360" s="242">
        <f t="shared" si="8"/>
        <v>0.259</v>
      </c>
      <c r="R360" s="224"/>
      <c r="S360" s="832"/>
    </row>
    <row r="361" spans="1:19" ht="21" customHeight="1">
      <c r="A361" s="157"/>
      <c r="B361" s="224"/>
      <c r="C361" s="240">
        <v>70000000</v>
      </c>
      <c r="D361" s="224">
        <v>20</v>
      </c>
      <c r="E361" s="241" t="s">
        <v>681</v>
      </c>
      <c r="F361" s="224" t="s">
        <v>789</v>
      </c>
      <c r="G361" s="242">
        <f>Q343</f>
        <v>4.662</v>
      </c>
      <c r="H361" s="225"/>
      <c r="I361" s="225" t="s">
        <v>783</v>
      </c>
      <c r="J361" s="243">
        <f t="shared" si="7"/>
        <v>20</v>
      </c>
      <c r="K361" s="224"/>
      <c r="L361" s="225"/>
      <c r="M361" s="225"/>
      <c r="N361" s="224"/>
      <c r="O361" s="224" t="s">
        <v>784</v>
      </c>
      <c r="P361" s="224"/>
      <c r="Q361" s="242">
        <f t="shared" si="8"/>
        <v>0.2331</v>
      </c>
      <c r="R361" s="224"/>
      <c r="S361" s="832"/>
    </row>
    <row r="362" spans="1:19" ht="21" customHeight="1">
      <c r="A362" s="157"/>
      <c r="B362" s="224"/>
      <c r="C362" s="240">
        <v>80000000</v>
      </c>
      <c r="D362" s="224">
        <v>20</v>
      </c>
      <c r="E362" s="241" t="s">
        <v>681</v>
      </c>
      <c r="F362" s="224" t="s">
        <v>789</v>
      </c>
      <c r="G362" s="242">
        <f>Q343</f>
        <v>4.662</v>
      </c>
      <c r="H362" s="225"/>
      <c r="I362" s="225" t="s">
        <v>783</v>
      </c>
      <c r="J362" s="243">
        <f t="shared" si="7"/>
        <v>20</v>
      </c>
      <c r="K362" s="224"/>
      <c r="L362" s="225"/>
      <c r="M362" s="225"/>
      <c r="N362" s="224"/>
      <c r="O362" s="224" t="s">
        <v>784</v>
      </c>
      <c r="P362" s="224"/>
      <c r="Q362" s="242">
        <f t="shared" si="8"/>
        <v>0.2331</v>
      </c>
      <c r="R362" s="224"/>
      <c r="S362" s="832"/>
    </row>
    <row r="363" spans="1:19" ht="21" customHeight="1">
      <c r="A363" s="157"/>
      <c r="B363" s="224"/>
      <c r="C363" s="240">
        <v>90000000</v>
      </c>
      <c r="D363" s="224">
        <v>20</v>
      </c>
      <c r="E363" s="241" t="s">
        <v>681</v>
      </c>
      <c r="F363" s="224" t="s">
        <v>789</v>
      </c>
      <c r="G363" s="242">
        <f>Q343</f>
        <v>4.662</v>
      </c>
      <c r="H363" s="225"/>
      <c r="I363" s="225" t="s">
        <v>783</v>
      </c>
      <c r="J363" s="243">
        <f t="shared" si="7"/>
        <v>20</v>
      </c>
      <c r="K363" s="224"/>
      <c r="L363" s="225"/>
      <c r="M363" s="225"/>
      <c r="N363" s="224"/>
      <c r="O363" s="224" t="s">
        <v>784</v>
      </c>
      <c r="P363" s="224"/>
      <c r="Q363" s="242">
        <f t="shared" si="8"/>
        <v>0.2331</v>
      </c>
      <c r="R363" s="224"/>
      <c r="S363" s="832"/>
    </row>
    <row r="364" spans="1:19" ht="21" customHeight="1">
      <c r="A364" s="157"/>
      <c r="B364" s="224"/>
      <c r="C364" s="240">
        <v>100000000</v>
      </c>
      <c r="D364" s="224">
        <v>20</v>
      </c>
      <c r="E364" s="241" t="s">
        <v>681</v>
      </c>
      <c r="F364" s="224" t="s">
        <v>789</v>
      </c>
      <c r="G364" s="242">
        <f>Q343</f>
        <v>4.662</v>
      </c>
      <c r="H364" s="225"/>
      <c r="I364" s="225" t="s">
        <v>783</v>
      </c>
      <c r="J364" s="243">
        <f t="shared" si="7"/>
        <v>20</v>
      </c>
      <c r="K364" s="224"/>
      <c r="L364" s="225"/>
      <c r="M364" s="225"/>
      <c r="N364" s="224"/>
      <c r="O364" s="224" t="s">
        <v>784</v>
      </c>
      <c r="P364" s="224"/>
      <c r="Q364" s="242">
        <f t="shared" si="8"/>
        <v>0.2331</v>
      </c>
      <c r="R364" s="224"/>
      <c r="S364" s="832"/>
    </row>
    <row r="365" spans="1:19" ht="21" customHeight="1">
      <c r="A365" s="157"/>
      <c r="B365" s="224"/>
      <c r="C365" s="240">
        <v>150000000</v>
      </c>
      <c r="D365" s="224">
        <v>22</v>
      </c>
      <c r="E365" s="241" t="s">
        <v>681</v>
      </c>
      <c r="F365" s="224" t="s">
        <v>789</v>
      </c>
      <c r="G365" s="242">
        <f>Q343</f>
        <v>4.662</v>
      </c>
      <c r="H365" s="225"/>
      <c r="I365" s="225" t="s">
        <v>783</v>
      </c>
      <c r="J365" s="243">
        <f t="shared" si="7"/>
        <v>22</v>
      </c>
      <c r="K365" s="224"/>
      <c r="L365" s="225"/>
      <c r="M365" s="225"/>
      <c r="N365" s="224"/>
      <c r="O365" s="224" t="s">
        <v>784</v>
      </c>
      <c r="P365" s="224"/>
      <c r="Q365" s="242">
        <f t="shared" si="8"/>
        <v>0.2119</v>
      </c>
      <c r="R365" s="224"/>
      <c r="S365" s="832"/>
    </row>
    <row r="366" spans="1:19" ht="21" customHeight="1">
      <c r="A366" s="157"/>
      <c r="B366" s="224"/>
      <c r="C366" s="240">
        <v>200000000</v>
      </c>
      <c r="D366" s="224">
        <v>24</v>
      </c>
      <c r="E366" s="241" t="s">
        <v>681</v>
      </c>
      <c r="F366" s="224" t="s">
        <v>789</v>
      </c>
      <c r="G366" s="242">
        <f>Q343</f>
        <v>4.662</v>
      </c>
      <c r="H366" s="225"/>
      <c r="I366" s="225" t="s">
        <v>783</v>
      </c>
      <c r="J366" s="243">
        <f t="shared" si="7"/>
        <v>24</v>
      </c>
      <c r="K366" s="224"/>
      <c r="L366" s="225"/>
      <c r="M366" s="225"/>
      <c r="N366" s="224"/>
      <c r="O366" s="224" t="s">
        <v>784</v>
      </c>
      <c r="P366" s="224"/>
      <c r="Q366" s="242">
        <f t="shared" si="8"/>
        <v>0.1943</v>
      </c>
      <c r="R366" s="224"/>
      <c r="S366" s="832"/>
    </row>
    <row r="367" spans="1:19" ht="21" customHeight="1">
      <c r="A367" s="157"/>
      <c r="B367" s="224"/>
      <c r="C367" s="240">
        <v>250000000</v>
      </c>
      <c r="D367" s="224">
        <v>28</v>
      </c>
      <c r="E367" s="241" t="s">
        <v>681</v>
      </c>
      <c r="F367" s="224" t="s">
        <v>789</v>
      </c>
      <c r="G367" s="242">
        <f>Q343</f>
        <v>4.662</v>
      </c>
      <c r="H367" s="225"/>
      <c r="I367" s="225" t="s">
        <v>783</v>
      </c>
      <c r="J367" s="243">
        <f t="shared" si="7"/>
        <v>28</v>
      </c>
      <c r="K367" s="224"/>
      <c r="L367" s="225"/>
      <c r="M367" s="225"/>
      <c r="N367" s="224"/>
      <c r="O367" s="224" t="s">
        <v>784</v>
      </c>
      <c r="P367" s="224"/>
      <c r="Q367" s="242">
        <f t="shared" si="8"/>
        <v>0.1665</v>
      </c>
      <c r="R367" s="224"/>
      <c r="S367" s="832"/>
    </row>
    <row r="368" spans="1:19" ht="21" customHeight="1">
      <c r="A368" s="157"/>
      <c r="B368" s="224"/>
      <c r="C368" s="240">
        <v>300000000</v>
      </c>
      <c r="D368" s="224">
        <v>30</v>
      </c>
      <c r="E368" s="241" t="s">
        <v>681</v>
      </c>
      <c r="F368" s="224" t="s">
        <v>789</v>
      </c>
      <c r="G368" s="242">
        <f>Q343</f>
        <v>4.662</v>
      </c>
      <c r="H368" s="225"/>
      <c r="I368" s="225" t="s">
        <v>783</v>
      </c>
      <c r="J368" s="243">
        <f t="shared" si="7"/>
        <v>30</v>
      </c>
      <c r="K368" s="224"/>
      <c r="L368" s="225"/>
      <c r="M368" s="225"/>
      <c r="N368" s="224"/>
      <c r="O368" s="224" t="s">
        <v>784</v>
      </c>
      <c r="P368" s="224"/>
      <c r="Q368" s="242">
        <f t="shared" si="8"/>
        <v>0.1554</v>
      </c>
      <c r="R368" s="224"/>
      <c r="S368" s="832"/>
    </row>
    <row r="369" spans="1:19" ht="21" customHeight="1">
      <c r="A369" s="157"/>
      <c r="B369" s="224"/>
      <c r="C369" s="240">
        <v>350000000</v>
      </c>
      <c r="D369" s="224">
        <v>32</v>
      </c>
      <c r="E369" s="241" t="s">
        <v>681</v>
      </c>
      <c r="F369" s="224" t="s">
        <v>789</v>
      </c>
      <c r="G369" s="242">
        <f>Q343</f>
        <v>4.662</v>
      </c>
      <c r="H369" s="225"/>
      <c r="I369" s="225" t="s">
        <v>783</v>
      </c>
      <c r="J369" s="243">
        <f t="shared" si="7"/>
        <v>32</v>
      </c>
      <c r="K369" s="224"/>
      <c r="L369" s="225"/>
      <c r="M369" s="225"/>
      <c r="N369" s="224"/>
      <c r="O369" s="224" t="s">
        <v>784</v>
      </c>
      <c r="P369" s="224"/>
      <c r="Q369" s="242">
        <f t="shared" si="8"/>
        <v>0.1457</v>
      </c>
      <c r="R369" s="224"/>
      <c r="S369" s="832"/>
    </row>
    <row r="370" spans="1:19" ht="21" customHeight="1">
      <c r="A370" s="157"/>
      <c r="B370" s="224"/>
      <c r="C370" s="240">
        <v>400000000</v>
      </c>
      <c r="D370" s="224">
        <v>36</v>
      </c>
      <c r="E370" s="241" t="s">
        <v>681</v>
      </c>
      <c r="F370" s="224" t="s">
        <v>789</v>
      </c>
      <c r="G370" s="242">
        <f>Q343</f>
        <v>4.662</v>
      </c>
      <c r="H370" s="225"/>
      <c r="I370" s="225" t="s">
        <v>783</v>
      </c>
      <c r="J370" s="243">
        <f t="shared" si="7"/>
        <v>36</v>
      </c>
      <c r="K370" s="224"/>
      <c r="L370" s="225"/>
      <c r="M370" s="225"/>
      <c r="N370" s="224"/>
      <c r="O370" s="224" t="s">
        <v>784</v>
      </c>
      <c r="P370" s="224"/>
      <c r="Q370" s="242">
        <f t="shared" si="8"/>
        <v>0.1295</v>
      </c>
      <c r="R370" s="224"/>
      <c r="S370" s="832"/>
    </row>
    <row r="371" spans="1:19" ht="21" customHeight="1">
      <c r="A371" s="157"/>
      <c r="B371" s="224"/>
      <c r="C371" s="240">
        <v>500000000</v>
      </c>
      <c r="D371" s="224">
        <v>36</v>
      </c>
      <c r="E371" s="241" t="s">
        <v>681</v>
      </c>
      <c r="F371" s="224" t="s">
        <v>789</v>
      </c>
      <c r="G371" s="242">
        <f>Q343</f>
        <v>4.662</v>
      </c>
      <c r="H371" s="225"/>
      <c r="I371" s="225" t="s">
        <v>783</v>
      </c>
      <c r="J371" s="243">
        <f t="shared" si="7"/>
        <v>36</v>
      </c>
      <c r="K371" s="224"/>
      <c r="L371" s="225"/>
      <c r="M371" s="225"/>
      <c r="N371" s="224"/>
      <c r="O371" s="224" t="s">
        <v>784</v>
      </c>
      <c r="P371" s="224"/>
      <c r="Q371" s="242">
        <f t="shared" si="8"/>
        <v>0.1295</v>
      </c>
      <c r="R371" s="224"/>
      <c r="S371" s="832"/>
    </row>
    <row r="372" spans="1:19" ht="21" customHeight="1">
      <c r="A372" s="157"/>
      <c r="B372" s="224"/>
      <c r="C372" s="240">
        <v>1000000000</v>
      </c>
      <c r="D372" s="224">
        <v>40</v>
      </c>
      <c r="E372" s="241" t="s">
        <v>681</v>
      </c>
      <c r="F372" s="224" t="s">
        <v>789</v>
      </c>
      <c r="G372" s="242">
        <f>Q343</f>
        <v>4.662</v>
      </c>
      <c r="H372" s="225"/>
      <c r="I372" s="225" t="s">
        <v>783</v>
      </c>
      <c r="J372" s="243">
        <f t="shared" si="7"/>
        <v>40</v>
      </c>
      <c r="K372" s="224"/>
      <c r="L372" s="225"/>
      <c r="M372" s="225"/>
      <c r="N372" s="224"/>
      <c r="O372" s="224" t="s">
        <v>784</v>
      </c>
      <c r="P372" s="224"/>
      <c r="Q372" s="242">
        <f t="shared" si="8"/>
        <v>0.1166</v>
      </c>
      <c r="R372" s="224"/>
      <c r="S372" s="832"/>
    </row>
    <row r="373" spans="1:19" ht="21" customHeight="1">
      <c r="A373" s="157"/>
      <c r="B373" s="157" t="s">
        <v>147</v>
      </c>
      <c r="C373" s="210" t="s">
        <v>148</v>
      </c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832"/>
    </row>
    <row r="374" spans="1:19" ht="21" customHeight="1">
      <c r="A374" s="157"/>
      <c r="B374" s="157" t="s">
        <v>149</v>
      </c>
      <c r="C374" s="210" t="s">
        <v>150</v>
      </c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832"/>
    </row>
    <row r="375" spans="1:19" ht="21" customHeight="1">
      <c r="A375" s="157"/>
      <c r="B375" s="157"/>
      <c r="C375" s="157" t="s">
        <v>151</v>
      </c>
      <c r="D375" s="157"/>
      <c r="E375" s="166">
        <v>24</v>
      </c>
      <c r="F375" s="157"/>
      <c r="G375" s="157" t="s">
        <v>152</v>
      </c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832"/>
    </row>
    <row r="376" spans="1:19" ht="21" customHeight="1">
      <c r="A376" s="157"/>
      <c r="B376" s="157"/>
      <c r="C376" s="157" t="s">
        <v>153</v>
      </c>
      <c r="D376" s="157"/>
      <c r="E376" s="166">
        <v>1500</v>
      </c>
      <c r="F376" s="157"/>
      <c r="G376" s="157" t="s">
        <v>154</v>
      </c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832"/>
    </row>
    <row r="377" spans="1:19" ht="21" customHeight="1">
      <c r="A377" s="157"/>
      <c r="B377" s="157"/>
      <c r="C377" s="157" t="s">
        <v>155</v>
      </c>
      <c r="D377" s="157"/>
      <c r="E377" s="176">
        <f>E375*E376</f>
        <v>36000</v>
      </c>
      <c r="F377" s="157"/>
      <c r="G377" s="157" t="s">
        <v>156</v>
      </c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832"/>
    </row>
    <row r="378" spans="1:19" ht="21" customHeight="1">
      <c r="A378" s="835" t="s">
        <v>157</v>
      </c>
      <c r="B378" s="835"/>
      <c r="C378" s="835"/>
      <c r="D378" s="835"/>
      <c r="E378" s="835"/>
      <c r="F378" s="835"/>
      <c r="G378" s="835"/>
      <c r="H378" s="835"/>
      <c r="I378" s="835"/>
      <c r="J378" s="835"/>
      <c r="K378" s="835"/>
      <c r="L378" s="835"/>
      <c r="M378" s="835"/>
      <c r="N378" s="835"/>
      <c r="O378" s="835"/>
      <c r="P378" s="835"/>
      <c r="Q378" s="835"/>
      <c r="R378" s="835"/>
      <c r="S378" s="832"/>
    </row>
    <row r="379" spans="1:19" ht="21" customHeight="1">
      <c r="A379" s="157"/>
      <c r="B379" s="157"/>
      <c r="C379" s="157" t="s">
        <v>158</v>
      </c>
      <c r="D379" s="157"/>
      <c r="E379" s="166">
        <v>9</v>
      </c>
      <c r="F379" s="157"/>
      <c r="G379" s="157" t="s">
        <v>152</v>
      </c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832" t="s">
        <v>159</v>
      </c>
    </row>
    <row r="380" spans="1:19" ht="21" customHeight="1">
      <c r="A380" s="157"/>
      <c r="B380" s="157"/>
      <c r="C380" s="157" t="s">
        <v>153</v>
      </c>
      <c r="D380" s="157"/>
      <c r="E380" s="166">
        <v>1250</v>
      </c>
      <c r="F380" s="157"/>
      <c r="G380" s="157" t="s">
        <v>160</v>
      </c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832"/>
    </row>
    <row r="381" spans="1:19" ht="21" customHeight="1">
      <c r="A381" s="157"/>
      <c r="B381" s="157"/>
      <c r="C381" s="157" t="s">
        <v>161</v>
      </c>
      <c r="D381" s="157"/>
      <c r="E381" s="176">
        <f>E379*E380</f>
        <v>11250</v>
      </c>
      <c r="F381" s="157"/>
      <c r="G381" s="157" t="s">
        <v>156</v>
      </c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832"/>
    </row>
    <row r="382" spans="1:19" ht="21" customHeight="1">
      <c r="A382" s="157"/>
      <c r="B382" s="157"/>
      <c r="C382" s="157" t="s">
        <v>162</v>
      </c>
      <c r="D382" s="157"/>
      <c r="E382" s="166">
        <v>1</v>
      </c>
      <c r="F382" s="157"/>
      <c r="G382" s="157" t="s">
        <v>163</v>
      </c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832"/>
    </row>
    <row r="383" spans="1:19" ht="21" customHeight="1">
      <c r="A383" s="157"/>
      <c r="B383" s="157"/>
      <c r="C383" s="157" t="s">
        <v>164</v>
      </c>
      <c r="D383" s="157"/>
      <c r="E383" s="166">
        <v>3000</v>
      </c>
      <c r="F383" s="157"/>
      <c r="G383" s="157" t="s">
        <v>156</v>
      </c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832"/>
    </row>
    <row r="384" spans="1:19" ht="21" customHeight="1">
      <c r="A384" s="157"/>
      <c r="B384" s="157"/>
      <c r="C384" s="157" t="s">
        <v>165</v>
      </c>
      <c r="D384" s="157"/>
      <c r="E384" s="176">
        <f>E382*E383</f>
        <v>3000</v>
      </c>
      <c r="F384" s="157"/>
      <c r="G384" s="157" t="s">
        <v>156</v>
      </c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832"/>
    </row>
    <row r="385" spans="1:19" ht="21" customHeight="1">
      <c r="A385" s="157"/>
      <c r="B385" s="157"/>
      <c r="C385" s="157" t="s">
        <v>166</v>
      </c>
      <c r="D385" s="157"/>
      <c r="E385" s="244">
        <f>E377+E381+E384</f>
        <v>50250</v>
      </c>
      <c r="F385" s="157"/>
      <c r="G385" s="157" t="s">
        <v>156</v>
      </c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832"/>
    </row>
    <row r="386" spans="1:19" ht="21" customHeight="1">
      <c r="A386" s="157"/>
      <c r="B386" s="157" t="s">
        <v>562</v>
      </c>
      <c r="C386" s="157" t="s">
        <v>142</v>
      </c>
      <c r="D386" s="157"/>
      <c r="E386" s="157"/>
      <c r="F386" s="157" t="s">
        <v>789</v>
      </c>
      <c r="G386" s="245">
        <f>E385</f>
        <v>50250</v>
      </c>
      <c r="H386" s="157"/>
      <c r="I386" s="165" t="s">
        <v>787</v>
      </c>
      <c r="J386" s="157">
        <v>70</v>
      </c>
      <c r="K386" s="157"/>
      <c r="L386" s="165" t="s">
        <v>783</v>
      </c>
      <c r="M386" s="176">
        <v>100</v>
      </c>
      <c r="N386" s="157"/>
      <c r="O386" s="157" t="s">
        <v>562</v>
      </c>
      <c r="P386" s="165" t="s">
        <v>784</v>
      </c>
      <c r="Q386" s="244">
        <f>G386*J386/M386</f>
        <v>35175</v>
      </c>
      <c r="R386" s="157"/>
      <c r="S386" s="832"/>
    </row>
    <row r="387" spans="1:19" ht="21" customHeight="1">
      <c r="A387" s="157"/>
      <c r="B387" s="157" t="s">
        <v>562</v>
      </c>
      <c r="C387" s="165" t="s">
        <v>463</v>
      </c>
      <c r="D387" s="165" t="s">
        <v>478</v>
      </c>
      <c r="E387" s="165"/>
      <c r="F387" s="157"/>
      <c r="G387" s="836" t="s">
        <v>778</v>
      </c>
      <c r="H387" s="836"/>
      <c r="I387" s="836"/>
      <c r="J387" s="836"/>
      <c r="K387" s="836"/>
      <c r="L387" s="836"/>
      <c r="M387" s="836"/>
      <c r="N387" s="836"/>
      <c r="O387" s="836"/>
      <c r="P387" s="836"/>
      <c r="Q387" s="836"/>
      <c r="R387" s="836"/>
      <c r="S387" s="832"/>
    </row>
    <row r="388" spans="1:19" ht="21" customHeight="1">
      <c r="A388" s="157"/>
      <c r="B388" s="175" t="s">
        <v>788</v>
      </c>
      <c r="C388" s="176">
        <v>500000</v>
      </c>
      <c r="D388" s="166">
        <v>6</v>
      </c>
      <c r="E388" s="198" t="s">
        <v>821</v>
      </c>
      <c r="F388" s="157" t="s">
        <v>789</v>
      </c>
      <c r="G388" s="172">
        <f>Q386</f>
        <v>35175</v>
      </c>
      <c r="H388" s="157"/>
      <c r="I388" s="165" t="s">
        <v>787</v>
      </c>
      <c r="J388" s="157">
        <v>100</v>
      </c>
      <c r="K388" s="157"/>
      <c r="L388" s="157" t="s">
        <v>783</v>
      </c>
      <c r="M388" s="172">
        <f>C388</f>
        <v>500000</v>
      </c>
      <c r="N388" s="157" t="s">
        <v>562</v>
      </c>
      <c r="O388" s="157" t="s">
        <v>562</v>
      </c>
      <c r="P388" s="165" t="s">
        <v>784</v>
      </c>
      <c r="Q388" s="199">
        <f>ROUND(G388*100/M388,4)</f>
        <v>7.035</v>
      </c>
      <c r="R388" s="157"/>
      <c r="S388" s="832"/>
    </row>
    <row r="389" spans="1:19" ht="21" customHeight="1">
      <c r="A389" s="157"/>
      <c r="B389" s="157"/>
      <c r="C389" s="176">
        <v>1000000</v>
      </c>
      <c r="D389" s="166">
        <v>6</v>
      </c>
      <c r="E389" s="198" t="s">
        <v>821</v>
      </c>
      <c r="F389" s="157" t="s">
        <v>789</v>
      </c>
      <c r="G389" s="172">
        <f>Q386</f>
        <v>35175</v>
      </c>
      <c r="H389" s="157"/>
      <c r="I389" s="165" t="s">
        <v>787</v>
      </c>
      <c r="J389" s="157">
        <v>100</v>
      </c>
      <c r="K389" s="157"/>
      <c r="L389" s="157" t="s">
        <v>783</v>
      </c>
      <c r="M389" s="172">
        <f>C389</f>
        <v>1000000</v>
      </c>
      <c r="N389" s="157" t="s">
        <v>562</v>
      </c>
      <c r="O389" s="157" t="s">
        <v>562</v>
      </c>
      <c r="P389" s="165" t="s">
        <v>784</v>
      </c>
      <c r="Q389" s="199">
        <f>ROUND(G389*100/M389,4)</f>
        <v>3.5175</v>
      </c>
      <c r="R389" s="157"/>
      <c r="S389" s="832"/>
    </row>
    <row r="390" spans="1:19" ht="21" customHeight="1">
      <c r="A390" s="157"/>
      <c r="B390" s="157"/>
      <c r="C390" s="176">
        <v>2000000</v>
      </c>
      <c r="D390" s="166">
        <v>9</v>
      </c>
      <c r="E390" s="198" t="s">
        <v>821</v>
      </c>
      <c r="F390" s="157" t="s">
        <v>789</v>
      </c>
      <c r="G390" s="172">
        <f>Q386</f>
        <v>35175</v>
      </c>
      <c r="H390" s="157"/>
      <c r="I390" s="165" t="s">
        <v>787</v>
      </c>
      <c r="J390" s="157">
        <v>100</v>
      </c>
      <c r="K390" s="157"/>
      <c r="L390" s="157" t="s">
        <v>783</v>
      </c>
      <c r="M390" s="172">
        <f>C390</f>
        <v>2000000</v>
      </c>
      <c r="N390" s="157" t="s">
        <v>562</v>
      </c>
      <c r="O390" s="157" t="s">
        <v>562</v>
      </c>
      <c r="P390" s="165" t="s">
        <v>784</v>
      </c>
      <c r="Q390" s="199">
        <f>ROUND(G390*100/M390,4)</f>
        <v>1.7588</v>
      </c>
      <c r="R390" s="157"/>
      <c r="S390" s="832"/>
    </row>
    <row r="391" spans="1:19" ht="21" customHeight="1">
      <c r="A391" s="157"/>
      <c r="B391" s="157"/>
      <c r="C391" s="176">
        <v>5000000</v>
      </c>
      <c r="D391" s="166">
        <v>12</v>
      </c>
      <c r="E391" s="198" t="s">
        <v>821</v>
      </c>
      <c r="F391" s="157" t="s">
        <v>789</v>
      </c>
      <c r="G391" s="172">
        <f>Q386</f>
        <v>35175</v>
      </c>
      <c r="H391" s="157"/>
      <c r="I391" s="165" t="s">
        <v>787</v>
      </c>
      <c r="J391" s="157">
        <v>100</v>
      </c>
      <c r="K391" s="157"/>
      <c r="L391" s="157" t="s">
        <v>783</v>
      </c>
      <c r="M391" s="172">
        <f>C391</f>
        <v>5000000</v>
      </c>
      <c r="N391" s="157" t="s">
        <v>562</v>
      </c>
      <c r="O391" s="157" t="s">
        <v>562</v>
      </c>
      <c r="P391" s="165" t="s">
        <v>784</v>
      </c>
      <c r="Q391" s="199">
        <f>ROUND(G391*100/M391,4)</f>
        <v>0.7035</v>
      </c>
      <c r="R391" s="157"/>
      <c r="S391" s="832"/>
    </row>
    <row r="392" spans="1:19" ht="21" customHeight="1">
      <c r="A392" s="157"/>
      <c r="B392" s="157"/>
      <c r="C392" s="176">
        <v>10000000</v>
      </c>
      <c r="D392" s="166">
        <v>15</v>
      </c>
      <c r="E392" s="198" t="s">
        <v>821</v>
      </c>
      <c r="F392" s="157" t="s">
        <v>789</v>
      </c>
      <c r="G392" s="172">
        <f>Q386</f>
        <v>35175</v>
      </c>
      <c r="H392" s="157"/>
      <c r="I392" s="165" t="s">
        <v>787</v>
      </c>
      <c r="J392" s="157">
        <v>100</v>
      </c>
      <c r="K392" s="157"/>
      <c r="L392" s="157" t="s">
        <v>783</v>
      </c>
      <c r="M392" s="172">
        <f>C392</f>
        <v>10000000</v>
      </c>
      <c r="N392" s="157" t="s">
        <v>562</v>
      </c>
      <c r="O392" s="157" t="s">
        <v>562</v>
      </c>
      <c r="P392" s="165" t="s">
        <v>784</v>
      </c>
      <c r="Q392" s="199">
        <f>ROUND(G392*100/M392,4)</f>
        <v>0.3518</v>
      </c>
      <c r="R392" s="157"/>
      <c r="S392" s="832"/>
    </row>
    <row r="393" spans="1:19" ht="21" customHeight="1">
      <c r="A393" s="157"/>
      <c r="B393" s="157" t="s">
        <v>167</v>
      </c>
      <c r="C393" s="210" t="s">
        <v>168</v>
      </c>
      <c r="D393" s="157"/>
      <c r="E393" s="157"/>
      <c r="F393" s="157"/>
      <c r="G393" s="157"/>
      <c r="H393" s="157"/>
      <c r="I393" s="157"/>
      <c r="J393" s="157"/>
      <c r="K393" s="157"/>
      <c r="L393" s="157"/>
      <c r="M393" s="200" t="s">
        <v>823</v>
      </c>
      <c r="N393" s="157"/>
      <c r="O393" s="157" t="s">
        <v>562</v>
      </c>
      <c r="P393" s="165" t="s">
        <v>784</v>
      </c>
      <c r="Q393" s="201">
        <f>ROUND((Q388+Q389+Q390+Q391+Q392)/5,4)</f>
        <v>2.6733</v>
      </c>
      <c r="R393" s="157"/>
      <c r="S393" s="832"/>
    </row>
    <row r="394" spans="1:19" ht="21" customHeight="1">
      <c r="A394" s="157"/>
      <c r="B394" s="157"/>
      <c r="C394" s="157" t="s">
        <v>151</v>
      </c>
      <c r="D394" s="157"/>
      <c r="E394" s="166">
        <v>24</v>
      </c>
      <c r="F394" s="157"/>
      <c r="G394" s="157" t="s">
        <v>152</v>
      </c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832"/>
    </row>
    <row r="395" spans="1:19" ht="21" customHeight="1">
      <c r="A395" s="157"/>
      <c r="B395" s="157"/>
      <c r="C395" s="157" t="s">
        <v>153</v>
      </c>
      <c r="D395" s="157"/>
      <c r="E395" s="166">
        <v>1500</v>
      </c>
      <c r="F395" s="157"/>
      <c r="G395" s="157" t="s">
        <v>154</v>
      </c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832"/>
    </row>
    <row r="396" spans="1:19" ht="21" customHeight="1">
      <c r="A396" s="157"/>
      <c r="B396" s="157"/>
      <c r="C396" s="157" t="s">
        <v>155</v>
      </c>
      <c r="D396" s="157"/>
      <c r="E396" s="176">
        <f>E394*E395</f>
        <v>36000</v>
      </c>
      <c r="F396" s="157"/>
      <c r="G396" s="157" t="s">
        <v>156</v>
      </c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832"/>
    </row>
    <row r="397" spans="1:19" ht="21" customHeight="1">
      <c r="A397" s="157"/>
      <c r="B397" s="157"/>
      <c r="C397" s="157" t="s">
        <v>158</v>
      </c>
      <c r="D397" s="157"/>
      <c r="E397" s="166">
        <v>15</v>
      </c>
      <c r="F397" s="157"/>
      <c r="G397" s="157" t="s">
        <v>152</v>
      </c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832"/>
    </row>
    <row r="398" spans="1:19" ht="21" customHeight="1">
      <c r="A398" s="157"/>
      <c r="B398" s="157"/>
      <c r="C398" s="157" t="s">
        <v>153</v>
      </c>
      <c r="D398" s="157"/>
      <c r="E398" s="166">
        <v>1250</v>
      </c>
      <c r="F398" s="157"/>
      <c r="G398" s="157" t="s">
        <v>154</v>
      </c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832"/>
    </row>
    <row r="399" spans="1:19" ht="21" customHeight="1">
      <c r="A399" s="157"/>
      <c r="B399" s="157"/>
      <c r="C399" s="157" t="s">
        <v>161</v>
      </c>
      <c r="D399" s="157"/>
      <c r="E399" s="176">
        <f>E397*E398</f>
        <v>18750</v>
      </c>
      <c r="F399" s="157"/>
      <c r="G399" s="157" t="s">
        <v>156</v>
      </c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832"/>
    </row>
    <row r="400" spans="1:19" ht="21" customHeight="1">
      <c r="A400" s="157"/>
      <c r="B400" s="157"/>
      <c r="C400" s="157" t="s">
        <v>162</v>
      </c>
      <c r="D400" s="157"/>
      <c r="E400" s="166">
        <v>1</v>
      </c>
      <c r="F400" s="157"/>
      <c r="G400" s="157" t="s">
        <v>163</v>
      </c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832"/>
    </row>
    <row r="401" spans="1:19" ht="21" customHeight="1">
      <c r="A401" s="157"/>
      <c r="B401" s="157"/>
      <c r="C401" s="157" t="s">
        <v>164</v>
      </c>
      <c r="D401" s="157"/>
      <c r="E401" s="166">
        <v>3000</v>
      </c>
      <c r="F401" s="157"/>
      <c r="G401" s="157" t="s">
        <v>156</v>
      </c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832"/>
    </row>
    <row r="402" spans="1:19" ht="21" customHeight="1">
      <c r="A402" s="157"/>
      <c r="B402" s="157"/>
      <c r="C402" s="157" t="s">
        <v>165</v>
      </c>
      <c r="D402" s="157"/>
      <c r="E402" s="176">
        <f>E400*E401</f>
        <v>3000</v>
      </c>
      <c r="F402" s="157"/>
      <c r="G402" s="157" t="s">
        <v>156</v>
      </c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832"/>
    </row>
    <row r="403" spans="1:19" ht="21" customHeight="1">
      <c r="A403" s="157"/>
      <c r="B403" s="157"/>
      <c r="C403" s="157" t="s">
        <v>166</v>
      </c>
      <c r="D403" s="157"/>
      <c r="E403" s="244">
        <f>E396+E399+E402</f>
        <v>57750</v>
      </c>
      <c r="F403" s="157"/>
      <c r="G403" s="157" t="s">
        <v>156</v>
      </c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832"/>
    </row>
    <row r="404" spans="1:19" ht="21" customHeight="1">
      <c r="A404" s="157"/>
      <c r="B404" s="157"/>
      <c r="C404" s="157" t="s">
        <v>142</v>
      </c>
      <c r="D404" s="157"/>
      <c r="E404" s="157"/>
      <c r="F404" s="157" t="s">
        <v>789</v>
      </c>
      <c r="G404" s="245">
        <f>E403</f>
        <v>57750</v>
      </c>
      <c r="H404" s="157"/>
      <c r="I404" s="165" t="s">
        <v>787</v>
      </c>
      <c r="J404" s="157">
        <v>70</v>
      </c>
      <c r="K404" s="157"/>
      <c r="L404" s="165" t="s">
        <v>783</v>
      </c>
      <c r="M404" s="176">
        <v>100</v>
      </c>
      <c r="N404" s="157"/>
      <c r="O404" s="157" t="s">
        <v>784</v>
      </c>
      <c r="P404" s="157"/>
      <c r="Q404" s="244">
        <f>G404*J404/M404</f>
        <v>40425</v>
      </c>
      <c r="R404" s="157"/>
      <c r="S404" s="832"/>
    </row>
    <row r="405" spans="1:19" ht="21" customHeight="1">
      <c r="A405" s="835" t="s">
        <v>169</v>
      </c>
      <c r="B405" s="835"/>
      <c r="C405" s="835"/>
      <c r="D405" s="835"/>
      <c r="E405" s="835"/>
      <c r="F405" s="835"/>
      <c r="G405" s="835"/>
      <c r="H405" s="835"/>
      <c r="I405" s="835"/>
      <c r="J405" s="835"/>
      <c r="K405" s="835"/>
      <c r="L405" s="835"/>
      <c r="M405" s="835"/>
      <c r="N405" s="835"/>
      <c r="O405" s="835"/>
      <c r="P405" s="835"/>
      <c r="Q405" s="835"/>
      <c r="R405" s="835"/>
      <c r="S405" s="832"/>
    </row>
    <row r="406" spans="1:19" ht="21" customHeight="1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832" t="s">
        <v>170</v>
      </c>
    </row>
    <row r="407" spans="1:19" ht="21" customHeight="1">
      <c r="A407" s="157"/>
      <c r="B407" s="157" t="s">
        <v>562</v>
      </c>
      <c r="C407" s="165" t="s">
        <v>463</v>
      </c>
      <c r="D407" s="165" t="s">
        <v>478</v>
      </c>
      <c r="E407" s="165"/>
      <c r="F407" s="157"/>
      <c r="G407" s="836" t="s">
        <v>778</v>
      </c>
      <c r="H407" s="836"/>
      <c r="I407" s="836"/>
      <c r="J407" s="836"/>
      <c r="K407" s="836"/>
      <c r="L407" s="836"/>
      <c r="M407" s="836"/>
      <c r="N407" s="836"/>
      <c r="O407" s="836"/>
      <c r="P407" s="836"/>
      <c r="Q407" s="836"/>
      <c r="R407" s="836"/>
      <c r="S407" s="833"/>
    </row>
    <row r="408" spans="1:19" ht="21" customHeight="1">
      <c r="A408" s="157"/>
      <c r="B408" s="175" t="s">
        <v>788</v>
      </c>
      <c r="C408" s="176">
        <v>10000001</v>
      </c>
      <c r="D408" s="166">
        <v>15</v>
      </c>
      <c r="E408" s="198" t="s">
        <v>821</v>
      </c>
      <c r="F408" s="157" t="s">
        <v>789</v>
      </c>
      <c r="G408" s="172">
        <f>Q404</f>
        <v>40425</v>
      </c>
      <c r="H408" s="157"/>
      <c r="I408" s="165" t="s">
        <v>787</v>
      </c>
      <c r="J408" s="157">
        <v>100</v>
      </c>
      <c r="K408" s="157"/>
      <c r="L408" s="157" t="s">
        <v>783</v>
      </c>
      <c r="M408" s="172">
        <f>C408</f>
        <v>10000001</v>
      </c>
      <c r="N408" s="157" t="s">
        <v>562</v>
      </c>
      <c r="O408" s="165" t="s">
        <v>562</v>
      </c>
      <c r="P408" s="157" t="s">
        <v>789</v>
      </c>
      <c r="Q408" s="199">
        <f>ROUND(G408*J408/M408,4)</f>
        <v>0.4042</v>
      </c>
      <c r="R408" s="157"/>
      <c r="S408" s="833"/>
    </row>
    <row r="409" spans="1:19" ht="21" customHeight="1">
      <c r="A409" s="157"/>
      <c r="B409" s="157"/>
      <c r="C409" s="176">
        <v>15000000</v>
      </c>
      <c r="D409" s="166">
        <v>15</v>
      </c>
      <c r="E409" s="198" t="s">
        <v>821</v>
      </c>
      <c r="F409" s="157" t="s">
        <v>789</v>
      </c>
      <c r="G409" s="172">
        <f>Q404</f>
        <v>40425</v>
      </c>
      <c r="H409" s="157"/>
      <c r="I409" s="165" t="s">
        <v>787</v>
      </c>
      <c r="J409" s="157">
        <v>100</v>
      </c>
      <c r="K409" s="157"/>
      <c r="L409" s="157" t="s">
        <v>783</v>
      </c>
      <c r="M409" s="172">
        <f>C409</f>
        <v>15000000</v>
      </c>
      <c r="N409" s="157" t="s">
        <v>562</v>
      </c>
      <c r="O409" s="165" t="s">
        <v>562</v>
      </c>
      <c r="P409" s="157" t="s">
        <v>789</v>
      </c>
      <c r="Q409" s="199">
        <f>ROUND(G409*J409/M409,4)</f>
        <v>0.2695</v>
      </c>
      <c r="R409" s="157"/>
      <c r="S409" s="833"/>
    </row>
    <row r="410" spans="1:19" ht="21" customHeight="1">
      <c r="A410" s="157"/>
      <c r="B410" s="157"/>
      <c r="C410" s="176">
        <v>20000000</v>
      </c>
      <c r="D410" s="166">
        <v>16</v>
      </c>
      <c r="E410" s="198" t="s">
        <v>821</v>
      </c>
      <c r="F410" s="157" t="s">
        <v>789</v>
      </c>
      <c r="G410" s="172">
        <f>Q404</f>
        <v>40425</v>
      </c>
      <c r="H410" s="157"/>
      <c r="I410" s="165" t="s">
        <v>787</v>
      </c>
      <c r="J410" s="157">
        <v>100</v>
      </c>
      <c r="K410" s="157"/>
      <c r="L410" s="157" t="s">
        <v>783</v>
      </c>
      <c r="M410" s="172">
        <f>C410</f>
        <v>20000000</v>
      </c>
      <c r="N410" s="157" t="s">
        <v>562</v>
      </c>
      <c r="O410" s="165" t="s">
        <v>562</v>
      </c>
      <c r="P410" s="157" t="s">
        <v>789</v>
      </c>
      <c r="Q410" s="199">
        <f>ROUND(G410*J410/M410,4)</f>
        <v>0.2021</v>
      </c>
      <c r="R410" s="157"/>
      <c r="S410" s="833"/>
    </row>
    <row r="411" spans="1:19" ht="21" customHeight="1">
      <c r="A411" s="157"/>
      <c r="B411" s="157"/>
      <c r="C411" s="176">
        <v>25000000</v>
      </c>
      <c r="D411" s="166">
        <v>16</v>
      </c>
      <c r="E411" s="198" t="s">
        <v>821</v>
      </c>
      <c r="F411" s="157" t="s">
        <v>789</v>
      </c>
      <c r="G411" s="172">
        <f>Q404</f>
        <v>40425</v>
      </c>
      <c r="H411" s="157"/>
      <c r="I411" s="165" t="s">
        <v>787</v>
      </c>
      <c r="J411" s="157">
        <v>100</v>
      </c>
      <c r="K411" s="157"/>
      <c r="L411" s="157" t="s">
        <v>783</v>
      </c>
      <c r="M411" s="172">
        <f>C411</f>
        <v>25000000</v>
      </c>
      <c r="N411" s="157" t="s">
        <v>562</v>
      </c>
      <c r="O411" s="165" t="s">
        <v>562</v>
      </c>
      <c r="P411" s="157" t="s">
        <v>789</v>
      </c>
      <c r="Q411" s="199">
        <f>ROUND(G411*J411/M411,4)</f>
        <v>0.1617</v>
      </c>
      <c r="R411" s="157"/>
      <c r="S411" s="833"/>
    </row>
    <row r="412" spans="1:19" ht="21" customHeight="1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200" t="s">
        <v>823</v>
      </c>
      <c r="N412" s="157"/>
      <c r="O412" s="157" t="s">
        <v>562</v>
      </c>
      <c r="P412" s="157" t="s">
        <v>789</v>
      </c>
      <c r="Q412" s="201">
        <f>ROUND((Q408+Q409+Q410+Q411)/4,4)</f>
        <v>0.2594</v>
      </c>
      <c r="R412" s="157"/>
      <c r="S412" s="833"/>
    </row>
    <row r="413" spans="1:19" ht="21" customHeight="1">
      <c r="A413" s="157"/>
      <c r="B413" s="157" t="s">
        <v>171</v>
      </c>
      <c r="C413" s="210" t="s">
        <v>172</v>
      </c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833"/>
    </row>
    <row r="414" spans="1:19" ht="21" customHeight="1">
      <c r="A414" s="157"/>
      <c r="B414" s="157"/>
      <c r="C414" s="157" t="s">
        <v>151</v>
      </c>
      <c r="D414" s="157"/>
      <c r="E414" s="166">
        <v>32</v>
      </c>
      <c r="F414" s="157"/>
      <c r="G414" s="157" t="s">
        <v>152</v>
      </c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833"/>
    </row>
    <row r="415" spans="1:19" ht="21" customHeight="1">
      <c r="A415" s="157"/>
      <c r="B415" s="157"/>
      <c r="C415" s="157" t="s">
        <v>153</v>
      </c>
      <c r="D415" s="157"/>
      <c r="E415" s="166">
        <v>1500</v>
      </c>
      <c r="F415" s="157"/>
      <c r="G415" s="157" t="s">
        <v>154</v>
      </c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833"/>
    </row>
    <row r="416" spans="1:19" ht="21" customHeight="1">
      <c r="A416" s="157"/>
      <c r="B416" s="157"/>
      <c r="C416" s="157" t="s">
        <v>155</v>
      </c>
      <c r="D416" s="157"/>
      <c r="E416" s="176">
        <f>E414*E415</f>
        <v>48000</v>
      </c>
      <c r="F416" s="157"/>
      <c r="G416" s="157" t="s">
        <v>156</v>
      </c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833"/>
    </row>
    <row r="417" spans="1:19" ht="21" customHeight="1">
      <c r="A417" s="157"/>
      <c r="B417" s="157"/>
      <c r="C417" s="157" t="s">
        <v>158</v>
      </c>
      <c r="D417" s="157"/>
      <c r="E417" s="166">
        <v>15</v>
      </c>
      <c r="F417" s="157"/>
      <c r="G417" s="157" t="s">
        <v>152</v>
      </c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833"/>
    </row>
    <row r="418" spans="1:19" ht="21" customHeight="1">
      <c r="A418" s="157"/>
      <c r="B418" s="157"/>
      <c r="C418" s="157" t="s">
        <v>153</v>
      </c>
      <c r="D418" s="157"/>
      <c r="E418" s="166">
        <v>1250</v>
      </c>
      <c r="F418" s="157"/>
      <c r="G418" s="157" t="s">
        <v>154</v>
      </c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833"/>
    </row>
    <row r="419" spans="1:19" ht="21" customHeight="1">
      <c r="A419" s="157"/>
      <c r="B419" s="157"/>
      <c r="C419" s="157" t="s">
        <v>161</v>
      </c>
      <c r="D419" s="157"/>
      <c r="E419" s="176">
        <f>E417*E418</f>
        <v>18750</v>
      </c>
      <c r="F419" s="157"/>
      <c r="G419" s="157" t="s">
        <v>156</v>
      </c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833"/>
    </row>
    <row r="420" spans="1:19" ht="21" customHeight="1">
      <c r="A420" s="157"/>
      <c r="B420" s="157"/>
      <c r="C420" s="157" t="s">
        <v>173</v>
      </c>
      <c r="D420" s="157"/>
      <c r="E420" s="166">
        <v>48</v>
      </c>
      <c r="F420" s="157"/>
      <c r="G420" s="157" t="s">
        <v>152</v>
      </c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833"/>
    </row>
    <row r="421" spans="1:19" ht="21" customHeight="1">
      <c r="A421" s="157"/>
      <c r="B421" s="157"/>
      <c r="C421" s="157" t="s">
        <v>153</v>
      </c>
      <c r="D421" s="157"/>
      <c r="E421" s="166">
        <v>1000</v>
      </c>
      <c r="F421" s="157"/>
      <c r="G421" s="157" t="s">
        <v>160</v>
      </c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833"/>
    </row>
    <row r="422" spans="1:19" ht="21" customHeight="1">
      <c r="A422" s="157"/>
      <c r="B422" s="157"/>
      <c r="C422" s="157" t="s">
        <v>175</v>
      </c>
      <c r="D422" s="157"/>
      <c r="E422" s="176">
        <f>E420*E421</f>
        <v>48000</v>
      </c>
      <c r="F422" s="157"/>
      <c r="G422" s="157" t="s">
        <v>156</v>
      </c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833"/>
    </row>
    <row r="423" spans="1:19" ht="21" customHeight="1">
      <c r="A423" s="157"/>
      <c r="B423" s="157"/>
      <c r="C423" s="157" t="s">
        <v>176</v>
      </c>
      <c r="D423" s="157"/>
      <c r="E423" s="166">
        <v>20</v>
      </c>
      <c r="F423" s="157"/>
      <c r="G423" s="157" t="s">
        <v>152</v>
      </c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833"/>
    </row>
    <row r="424" spans="1:19" ht="21" customHeight="1">
      <c r="A424" s="157"/>
      <c r="B424" s="157"/>
      <c r="C424" s="157" t="s">
        <v>153</v>
      </c>
      <c r="D424" s="157"/>
      <c r="E424" s="166">
        <v>1250</v>
      </c>
      <c r="F424" s="157"/>
      <c r="G424" s="157" t="s">
        <v>160</v>
      </c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833"/>
    </row>
    <row r="425" spans="1:19" ht="21" customHeight="1">
      <c r="A425" s="157"/>
      <c r="B425" s="157"/>
      <c r="C425" s="157" t="s">
        <v>177</v>
      </c>
      <c r="D425" s="157"/>
      <c r="E425" s="176">
        <f>E423*E424</f>
        <v>25000</v>
      </c>
      <c r="F425" s="157"/>
      <c r="G425" s="157" t="s">
        <v>156</v>
      </c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833"/>
    </row>
    <row r="426" spans="1:19" ht="21" customHeight="1">
      <c r="A426" s="157"/>
      <c r="B426" s="157"/>
      <c r="C426" s="157" t="s">
        <v>162</v>
      </c>
      <c r="D426" s="157"/>
      <c r="E426" s="166">
        <v>1</v>
      </c>
      <c r="F426" s="157"/>
      <c r="G426" s="157" t="s">
        <v>163</v>
      </c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833"/>
    </row>
    <row r="427" spans="1:19" ht="21" customHeight="1">
      <c r="A427" s="157"/>
      <c r="B427" s="157"/>
      <c r="C427" s="157" t="s">
        <v>164</v>
      </c>
      <c r="D427" s="157"/>
      <c r="E427" s="166">
        <v>3000</v>
      </c>
      <c r="F427" s="157"/>
      <c r="G427" s="157" t="s">
        <v>156</v>
      </c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833"/>
    </row>
    <row r="428" spans="1:19" ht="21" customHeight="1">
      <c r="A428" s="157"/>
      <c r="B428" s="157"/>
      <c r="C428" s="157" t="s">
        <v>165</v>
      </c>
      <c r="D428" s="157"/>
      <c r="E428" s="176">
        <f>E426*E427</f>
        <v>3000</v>
      </c>
      <c r="F428" s="157"/>
      <c r="G428" s="157" t="s">
        <v>156</v>
      </c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833"/>
    </row>
    <row r="429" spans="1:19" ht="21" customHeight="1">
      <c r="A429" s="157"/>
      <c r="B429" s="157"/>
      <c r="C429" s="157" t="s">
        <v>166</v>
      </c>
      <c r="D429" s="157"/>
      <c r="E429" s="244">
        <f>E416+E419+E422+E425+E428</f>
        <v>142750</v>
      </c>
      <c r="F429" s="157"/>
      <c r="G429" s="157" t="s">
        <v>156</v>
      </c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833"/>
    </row>
    <row r="430" spans="1:19" ht="21" customHeight="1">
      <c r="A430" s="157"/>
      <c r="B430" s="157"/>
      <c r="C430" s="157" t="s">
        <v>142</v>
      </c>
      <c r="D430" s="157"/>
      <c r="E430" s="157"/>
      <c r="F430" s="157" t="s">
        <v>789</v>
      </c>
      <c r="G430" s="245">
        <f>E429</f>
        <v>142750</v>
      </c>
      <c r="H430" s="157"/>
      <c r="I430" s="165" t="s">
        <v>787</v>
      </c>
      <c r="J430" s="157">
        <v>70</v>
      </c>
      <c r="K430" s="157"/>
      <c r="L430" s="165" t="s">
        <v>783</v>
      </c>
      <c r="M430" s="176">
        <v>100</v>
      </c>
      <c r="N430" s="157"/>
      <c r="O430" s="157" t="s">
        <v>784</v>
      </c>
      <c r="P430" s="157"/>
      <c r="Q430" s="244">
        <f>G430*J430/M430</f>
        <v>99925</v>
      </c>
      <c r="R430" s="157"/>
      <c r="S430" s="833"/>
    </row>
    <row r="431" spans="1:19" ht="21" customHeight="1">
      <c r="A431" s="157"/>
      <c r="B431" s="157" t="s">
        <v>562</v>
      </c>
      <c r="C431" s="157" t="s">
        <v>562</v>
      </c>
      <c r="D431" s="157" t="s">
        <v>562</v>
      </c>
      <c r="E431" s="157" t="s">
        <v>562</v>
      </c>
      <c r="F431" s="157" t="s">
        <v>562</v>
      </c>
      <c r="G431" s="157" t="s">
        <v>562</v>
      </c>
      <c r="H431" s="157" t="s">
        <v>562</v>
      </c>
      <c r="I431" s="157" t="s">
        <v>562</v>
      </c>
      <c r="J431" s="157" t="s">
        <v>562</v>
      </c>
      <c r="K431" s="157" t="s">
        <v>562</v>
      </c>
      <c r="L431" s="157" t="s">
        <v>562</v>
      </c>
      <c r="M431" s="157" t="s">
        <v>562</v>
      </c>
      <c r="N431" s="157" t="s">
        <v>562</v>
      </c>
      <c r="O431" s="157" t="s">
        <v>562</v>
      </c>
      <c r="P431" s="157" t="s">
        <v>562</v>
      </c>
      <c r="Q431" s="157" t="s">
        <v>562</v>
      </c>
      <c r="R431" s="157" t="s">
        <v>562</v>
      </c>
      <c r="S431" s="833"/>
    </row>
    <row r="432" spans="1:19" ht="21" customHeight="1">
      <c r="A432" s="835" t="s">
        <v>178</v>
      </c>
      <c r="B432" s="835"/>
      <c r="C432" s="835"/>
      <c r="D432" s="835"/>
      <c r="E432" s="835"/>
      <c r="F432" s="835"/>
      <c r="G432" s="835"/>
      <c r="H432" s="835"/>
      <c r="I432" s="835"/>
      <c r="J432" s="835"/>
      <c r="K432" s="835"/>
      <c r="L432" s="835"/>
      <c r="M432" s="835"/>
      <c r="N432" s="835"/>
      <c r="O432" s="835"/>
      <c r="P432" s="835"/>
      <c r="Q432" s="835"/>
      <c r="R432" s="835"/>
      <c r="S432" s="833"/>
    </row>
    <row r="433" spans="1:19" ht="21" customHeight="1">
      <c r="A433" s="157"/>
      <c r="B433" s="157" t="s">
        <v>562</v>
      </c>
      <c r="C433" s="157" t="s">
        <v>562</v>
      </c>
      <c r="D433" s="157" t="s">
        <v>562</v>
      </c>
      <c r="E433" s="157" t="s">
        <v>562</v>
      </c>
      <c r="F433" s="157" t="s">
        <v>562</v>
      </c>
      <c r="G433" s="157" t="s">
        <v>562</v>
      </c>
      <c r="H433" s="157" t="s">
        <v>562</v>
      </c>
      <c r="I433" s="157" t="s">
        <v>562</v>
      </c>
      <c r="J433" s="157" t="s">
        <v>562</v>
      </c>
      <c r="K433" s="157" t="s">
        <v>562</v>
      </c>
      <c r="L433" s="157" t="s">
        <v>562</v>
      </c>
      <c r="M433" s="157" t="s">
        <v>562</v>
      </c>
      <c r="N433" s="157" t="s">
        <v>562</v>
      </c>
      <c r="O433" s="157" t="s">
        <v>562</v>
      </c>
      <c r="P433" s="157" t="s">
        <v>562</v>
      </c>
      <c r="Q433" s="157" t="s">
        <v>562</v>
      </c>
      <c r="R433" s="157" t="s">
        <v>562</v>
      </c>
      <c r="S433" s="832" t="s">
        <v>179</v>
      </c>
    </row>
    <row r="434" spans="1:19" ht="21" customHeight="1">
      <c r="A434" s="157"/>
      <c r="B434" s="157" t="s">
        <v>562</v>
      </c>
      <c r="C434" s="165" t="s">
        <v>463</v>
      </c>
      <c r="D434" s="165" t="s">
        <v>478</v>
      </c>
      <c r="E434" s="165"/>
      <c r="F434" s="157"/>
      <c r="G434" s="836" t="s">
        <v>778</v>
      </c>
      <c r="H434" s="836"/>
      <c r="I434" s="836"/>
      <c r="J434" s="836"/>
      <c r="K434" s="836"/>
      <c r="L434" s="836"/>
      <c r="M434" s="836"/>
      <c r="N434" s="836"/>
      <c r="O434" s="836"/>
      <c r="P434" s="836"/>
      <c r="Q434" s="836"/>
      <c r="R434" s="836"/>
      <c r="S434" s="833"/>
    </row>
    <row r="435" spans="1:19" ht="21" customHeight="1">
      <c r="A435" s="157"/>
      <c r="B435" s="175" t="s">
        <v>788</v>
      </c>
      <c r="C435" s="176">
        <v>25000001</v>
      </c>
      <c r="D435" s="166">
        <v>16</v>
      </c>
      <c r="E435" s="198" t="s">
        <v>821</v>
      </c>
      <c r="F435" s="157" t="s">
        <v>789</v>
      </c>
      <c r="G435" s="172">
        <f>Q430</f>
        <v>99925</v>
      </c>
      <c r="H435" s="157"/>
      <c r="I435" s="165" t="s">
        <v>787</v>
      </c>
      <c r="J435" s="157">
        <v>100</v>
      </c>
      <c r="K435" s="157"/>
      <c r="L435" s="157" t="s">
        <v>783</v>
      </c>
      <c r="M435" s="172">
        <f>C435</f>
        <v>25000001</v>
      </c>
      <c r="N435" s="157" t="s">
        <v>562</v>
      </c>
      <c r="O435" s="165" t="s">
        <v>562</v>
      </c>
      <c r="P435" s="165" t="s">
        <v>789</v>
      </c>
      <c r="Q435" s="199">
        <f>ROUND(G435*J435/M435,4)</f>
        <v>0.3997</v>
      </c>
      <c r="R435" s="157"/>
      <c r="S435" s="833"/>
    </row>
    <row r="436" spans="1:19" ht="21" customHeight="1">
      <c r="A436" s="157"/>
      <c r="B436" s="157"/>
      <c r="C436" s="176">
        <v>30000000</v>
      </c>
      <c r="D436" s="166">
        <v>17</v>
      </c>
      <c r="E436" s="198" t="s">
        <v>821</v>
      </c>
      <c r="F436" s="157" t="s">
        <v>789</v>
      </c>
      <c r="G436" s="172">
        <f>Q430</f>
        <v>99925</v>
      </c>
      <c r="H436" s="157"/>
      <c r="I436" s="165" t="s">
        <v>787</v>
      </c>
      <c r="J436" s="157">
        <v>100</v>
      </c>
      <c r="K436" s="157"/>
      <c r="L436" s="157" t="s">
        <v>783</v>
      </c>
      <c r="M436" s="172">
        <f>C436</f>
        <v>30000000</v>
      </c>
      <c r="N436" s="157" t="s">
        <v>562</v>
      </c>
      <c r="O436" s="165" t="s">
        <v>562</v>
      </c>
      <c r="P436" s="165" t="s">
        <v>789</v>
      </c>
      <c r="Q436" s="199">
        <f>ROUND(G436*J436/M436,4)</f>
        <v>0.3331</v>
      </c>
      <c r="R436" s="157"/>
      <c r="S436" s="833"/>
    </row>
    <row r="437" spans="1:19" ht="21" customHeight="1">
      <c r="A437" s="157"/>
      <c r="B437" s="157"/>
      <c r="C437" s="176">
        <v>40000000</v>
      </c>
      <c r="D437" s="166">
        <v>17</v>
      </c>
      <c r="E437" s="198" t="s">
        <v>821</v>
      </c>
      <c r="F437" s="157" t="s">
        <v>789</v>
      </c>
      <c r="G437" s="172">
        <f>Q430</f>
        <v>99925</v>
      </c>
      <c r="H437" s="157"/>
      <c r="I437" s="165" t="s">
        <v>787</v>
      </c>
      <c r="J437" s="157">
        <v>100</v>
      </c>
      <c r="K437" s="157"/>
      <c r="L437" s="157" t="s">
        <v>783</v>
      </c>
      <c r="M437" s="172">
        <f>C437</f>
        <v>40000000</v>
      </c>
      <c r="N437" s="157" t="s">
        <v>562</v>
      </c>
      <c r="O437" s="165" t="s">
        <v>562</v>
      </c>
      <c r="P437" s="165" t="s">
        <v>789</v>
      </c>
      <c r="Q437" s="199">
        <f>ROUND(G437*J437/M437,4)</f>
        <v>0.2498</v>
      </c>
      <c r="R437" s="157"/>
      <c r="S437" s="833"/>
    </row>
    <row r="438" spans="1:19" ht="21" customHeight="1">
      <c r="A438" s="157"/>
      <c r="B438" s="157"/>
      <c r="C438" s="176">
        <v>50000000</v>
      </c>
      <c r="D438" s="166">
        <v>18</v>
      </c>
      <c r="E438" s="198" t="s">
        <v>821</v>
      </c>
      <c r="F438" s="157" t="s">
        <v>789</v>
      </c>
      <c r="G438" s="172">
        <f>Q430</f>
        <v>99925</v>
      </c>
      <c r="H438" s="157"/>
      <c r="I438" s="165" t="s">
        <v>787</v>
      </c>
      <c r="J438" s="157">
        <v>100</v>
      </c>
      <c r="K438" s="157"/>
      <c r="L438" s="157" t="s">
        <v>783</v>
      </c>
      <c r="M438" s="172">
        <f>C438</f>
        <v>50000000</v>
      </c>
      <c r="N438" s="157" t="s">
        <v>562</v>
      </c>
      <c r="O438" s="165" t="s">
        <v>562</v>
      </c>
      <c r="P438" s="165" t="s">
        <v>789</v>
      </c>
      <c r="Q438" s="199">
        <f>ROUND(G438*J438/M438,4)</f>
        <v>0.1999</v>
      </c>
      <c r="R438" s="157"/>
      <c r="S438" s="833"/>
    </row>
    <row r="439" spans="1:19" ht="21" customHeight="1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200" t="s">
        <v>823</v>
      </c>
      <c r="N439" s="157"/>
      <c r="O439" s="157" t="s">
        <v>562</v>
      </c>
      <c r="P439" s="165" t="s">
        <v>784</v>
      </c>
      <c r="Q439" s="201">
        <f>ROUND((Q435+Q436+Q437+Q438)/4,4)</f>
        <v>0.2956</v>
      </c>
      <c r="R439" s="157"/>
      <c r="S439" s="833"/>
    </row>
    <row r="440" spans="1:19" ht="21" customHeight="1">
      <c r="A440" s="157"/>
      <c r="B440" s="157" t="s">
        <v>180</v>
      </c>
      <c r="C440" s="210" t="s">
        <v>181</v>
      </c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833"/>
    </row>
    <row r="441" spans="1:19" ht="21" customHeight="1">
      <c r="A441" s="157"/>
      <c r="B441" s="157"/>
      <c r="C441" s="157" t="s">
        <v>151</v>
      </c>
      <c r="D441" s="157"/>
      <c r="E441" s="166">
        <v>32</v>
      </c>
      <c r="F441" s="157"/>
      <c r="G441" s="157" t="s">
        <v>152</v>
      </c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833"/>
    </row>
    <row r="442" spans="1:19" ht="21" customHeight="1">
      <c r="A442" s="157"/>
      <c r="B442" s="157"/>
      <c r="C442" s="157" t="s">
        <v>153</v>
      </c>
      <c r="D442" s="157"/>
      <c r="E442" s="166">
        <v>1500</v>
      </c>
      <c r="F442" s="157"/>
      <c r="G442" s="157" t="s">
        <v>154</v>
      </c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833"/>
    </row>
    <row r="443" spans="1:19" ht="21" customHeight="1">
      <c r="A443" s="157"/>
      <c r="B443" s="157"/>
      <c r="C443" s="157" t="s">
        <v>155</v>
      </c>
      <c r="D443" s="157"/>
      <c r="E443" s="176">
        <f>E441*E442</f>
        <v>48000</v>
      </c>
      <c r="F443" s="157"/>
      <c r="G443" s="157" t="s">
        <v>156</v>
      </c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833"/>
    </row>
    <row r="444" spans="1:19" ht="21" customHeight="1">
      <c r="A444" s="157"/>
      <c r="B444" s="157"/>
      <c r="C444" s="157" t="s">
        <v>158</v>
      </c>
      <c r="D444" s="157"/>
      <c r="E444" s="166">
        <v>20</v>
      </c>
      <c r="F444" s="157"/>
      <c r="G444" s="157" t="s">
        <v>152</v>
      </c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833"/>
    </row>
    <row r="445" spans="1:19" ht="21" customHeight="1">
      <c r="A445" s="157"/>
      <c r="B445" s="157"/>
      <c r="C445" s="157" t="s">
        <v>153</v>
      </c>
      <c r="D445" s="157"/>
      <c r="E445" s="166">
        <v>1250</v>
      </c>
      <c r="F445" s="157"/>
      <c r="G445" s="157" t="s">
        <v>154</v>
      </c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833"/>
    </row>
    <row r="446" spans="1:19" ht="21" customHeight="1">
      <c r="A446" s="157"/>
      <c r="B446" s="157"/>
      <c r="C446" s="157" t="s">
        <v>161</v>
      </c>
      <c r="D446" s="157"/>
      <c r="E446" s="176">
        <f>E444*E445</f>
        <v>25000</v>
      </c>
      <c r="F446" s="157"/>
      <c r="G446" s="157" t="s">
        <v>156</v>
      </c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833"/>
    </row>
    <row r="447" spans="1:19" ht="21" customHeight="1">
      <c r="A447" s="157"/>
      <c r="B447" s="157"/>
      <c r="C447" s="157" t="s">
        <v>173</v>
      </c>
      <c r="D447" s="157"/>
      <c r="E447" s="166">
        <v>48</v>
      </c>
      <c r="F447" s="157"/>
      <c r="G447" s="157" t="s">
        <v>152</v>
      </c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833"/>
    </row>
    <row r="448" spans="1:19" ht="21" customHeight="1">
      <c r="A448" s="157"/>
      <c r="B448" s="157"/>
      <c r="C448" s="157" t="s">
        <v>153</v>
      </c>
      <c r="D448" s="157"/>
      <c r="E448" s="166">
        <v>1000</v>
      </c>
      <c r="F448" s="157"/>
      <c r="G448" s="157" t="s">
        <v>160</v>
      </c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833"/>
    </row>
    <row r="449" spans="1:19" ht="21" customHeight="1">
      <c r="A449" s="157"/>
      <c r="B449" s="157"/>
      <c r="C449" s="157" t="s">
        <v>175</v>
      </c>
      <c r="D449" s="157"/>
      <c r="E449" s="176">
        <f>E447*E448</f>
        <v>48000</v>
      </c>
      <c r="F449" s="157"/>
      <c r="G449" s="157" t="s">
        <v>156</v>
      </c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833"/>
    </row>
    <row r="450" spans="1:19" ht="21" customHeight="1">
      <c r="A450" s="157"/>
      <c r="B450" s="157"/>
      <c r="C450" s="157" t="s">
        <v>176</v>
      </c>
      <c r="D450" s="157"/>
      <c r="E450" s="166">
        <v>20</v>
      </c>
      <c r="F450" s="157"/>
      <c r="G450" s="157" t="s">
        <v>152</v>
      </c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833"/>
    </row>
    <row r="451" spans="1:19" ht="21" customHeight="1">
      <c r="A451" s="157"/>
      <c r="B451" s="157"/>
      <c r="C451" s="157" t="s">
        <v>153</v>
      </c>
      <c r="D451" s="157"/>
      <c r="E451" s="166">
        <v>1250</v>
      </c>
      <c r="F451" s="157"/>
      <c r="G451" s="157" t="s">
        <v>160</v>
      </c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833"/>
    </row>
    <row r="452" spans="1:19" ht="21" customHeight="1">
      <c r="A452" s="157"/>
      <c r="B452" s="157"/>
      <c r="C452" s="157" t="s">
        <v>177</v>
      </c>
      <c r="D452" s="157"/>
      <c r="E452" s="176">
        <f>E450*E451</f>
        <v>25000</v>
      </c>
      <c r="F452" s="157"/>
      <c r="G452" s="157" t="s">
        <v>156</v>
      </c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833"/>
    </row>
    <row r="453" spans="1:19" ht="21" customHeight="1">
      <c r="A453" s="157"/>
      <c r="B453" s="157"/>
      <c r="C453" s="157" t="s">
        <v>162</v>
      </c>
      <c r="D453" s="157"/>
      <c r="E453" s="166">
        <v>1</v>
      </c>
      <c r="F453" s="157"/>
      <c r="G453" s="157" t="s">
        <v>163</v>
      </c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833"/>
    </row>
    <row r="454" spans="1:19" ht="21" customHeight="1">
      <c r="A454" s="157"/>
      <c r="B454" s="157"/>
      <c r="C454" s="157" t="s">
        <v>164</v>
      </c>
      <c r="D454" s="157"/>
      <c r="E454" s="166">
        <v>3000</v>
      </c>
      <c r="F454" s="157"/>
      <c r="G454" s="157" t="s">
        <v>156</v>
      </c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833"/>
    </row>
    <row r="455" spans="1:19" ht="21" customHeight="1">
      <c r="A455" s="157"/>
      <c r="B455" s="157"/>
      <c r="C455" s="157" t="s">
        <v>165</v>
      </c>
      <c r="D455" s="157"/>
      <c r="E455" s="176">
        <f>E453*E454</f>
        <v>3000</v>
      </c>
      <c r="F455" s="157"/>
      <c r="G455" s="157" t="s">
        <v>156</v>
      </c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833"/>
    </row>
    <row r="456" spans="1:19" ht="21" customHeight="1">
      <c r="A456" s="157"/>
      <c r="B456" s="157"/>
      <c r="C456" s="157" t="s">
        <v>166</v>
      </c>
      <c r="D456" s="157"/>
      <c r="E456" s="244">
        <f>E443+E446+E449+E452+E455</f>
        <v>149000</v>
      </c>
      <c r="F456" s="157"/>
      <c r="G456" s="157" t="s">
        <v>156</v>
      </c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833"/>
    </row>
    <row r="457" spans="1:19" ht="21" customHeight="1">
      <c r="A457" s="157"/>
      <c r="B457" s="157"/>
      <c r="C457" s="157" t="s">
        <v>142</v>
      </c>
      <c r="D457" s="157"/>
      <c r="E457" s="157"/>
      <c r="F457" s="157" t="s">
        <v>789</v>
      </c>
      <c r="G457" s="245">
        <f>E456</f>
        <v>149000</v>
      </c>
      <c r="H457" s="157"/>
      <c r="I457" s="165" t="s">
        <v>787</v>
      </c>
      <c r="J457" s="157">
        <v>70</v>
      </c>
      <c r="K457" s="157"/>
      <c r="L457" s="165" t="s">
        <v>783</v>
      </c>
      <c r="M457" s="176">
        <v>100</v>
      </c>
      <c r="N457" s="157"/>
      <c r="O457" s="157" t="s">
        <v>562</v>
      </c>
      <c r="P457" s="165" t="s">
        <v>784</v>
      </c>
      <c r="Q457" s="244">
        <f>G457*J457/M457</f>
        <v>104300</v>
      </c>
      <c r="R457" s="157"/>
      <c r="S457" s="833"/>
    </row>
    <row r="458" spans="1:19" ht="21" customHeight="1">
      <c r="A458" s="157"/>
      <c r="B458" s="157" t="s">
        <v>562</v>
      </c>
      <c r="C458" s="157" t="s">
        <v>562</v>
      </c>
      <c r="D458" s="157" t="s">
        <v>562</v>
      </c>
      <c r="E458" s="157" t="s">
        <v>562</v>
      </c>
      <c r="F458" s="157" t="s">
        <v>562</v>
      </c>
      <c r="G458" s="157" t="s">
        <v>562</v>
      </c>
      <c r="H458" s="157" t="s">
        <v>562</v>
      </c>
      <c r="I458" s="157" t="s">
        <v>562</v>
      </c>
      <c r="J458" s="157" t="s">
        <v>562</v>
      </c>
      <c r="K458" s="157" t="s">
        <v>562</v>
      </c>
      <c r="L458" s="157" t="s">
        <v>562</v>
      </c>
      <c r="M458" s="157" t="s">
        <v>562</v>
      </c>
      <c r="N458" s="157" t="s">
        <v>562</v>
      </c>
      <c r="O458" s="157" t="s">
        <v>562</v>
      </c>
      <c r="P458" s="157" t="s">
        <v>562</v>
      </c>
      <c r="Q458" s="157" t="s">
        <v>562</v>
      </c>
      <c r="R458" s="157" t="s">
        <v>562</v>
      </c>
      <c r="S458" s="833"/>
    </row>
    <row r="459" spans="1:19" ht="21" customHeight="1">
      <c r="A459" s="835" t="s">
        <v>182</v>
      </c>
      <c r="B459" s="835"/>
      <c r="C459" s="835"/>
      <c r="D459" s="835"/>
      <c r="E459" s="835"/>
      <c r="F459" s="835"/>
      <c r="G459" s="835"/>
      <c r="H459" s="835"/>
      <c r="I459" s="835"/>
      <c r="J459" s="835"/>
      <c r="K459" s="835"/>
      <c r="L459" s="835"/>
      <c r="M459" s="835"/>
      <c r="N459" s="835"/>
      <c r="O459" s="835"/>
      <c r="P459" s="835"/>
      <c r="Q459" s="835"/>
      <c r="R459" s="835"/>
      <c r="S459" s="833"/>
    </row>
    <row r="460" spans="1:19" ht="21" customHeight="1">
      <c r="A460" s="157"/>
      <c r="B460" s="157" t="s">
        <v>562</v>
      </c>
      <c r="C460" s="165" t="s">
        <v>463</v>
      </c>
      <c r="D460" s="165" t="s">
        <v>478</v>
      </c>
      <c r="E460" s="165"/>
      <c r="F460" s="157"/>
      <c r="G460" s="836" t="s">
        <v>778</v>
      </c>
      <c r="H460" s="836"/>
      <c r="I460" s="836"/>
      <c r="J460" s="836"/>
      <c r="K460" s="836"/>
      <c r="L460" s="836"/>
      <c r="M460" s="836"/>
      <c r="N460" s="836"/>
      <c r="O460" s="836"/>
      <c r="P460" s="836"/>
      <c r="Q460" s="836"/>
      <c r="R460" s="836"/>
      <c r="S460" s="832" t="s">
        <v>183</v>
      </c>
    </row>
    <row r="461" spans="1:19" ht="21" customHeight="1">
      <c r="A461" s="157"/>
      <c r="B461" s="175" t="s">
        <v>788</v>
      </c>
      <c r="C461" s="176">
        <v>50000001</v>
      </c>
      <c r="D461" s="166">
        <v>18</v>
      </c>
      <c r="E461" s="198" t="s">
        <v>821</v>
      </c>
      <c r="F461" s="157" t="s">
        <v>789</v>
      </c>
      <c r="G461" s="172">
        <f>Q457</f>
        <v>104300</v>
      </c>
      <c r="H461" s="157"/>
      <c r="I461" s="165" t="s">
        <v>787</v>
      </c>
      <c r="J461" s="157">
        <v>100</v>
      </c>
      <c r="K461" s="157"/>
      <c r="L461" s="157" t="s">
        <v>783</v>
      </c>
      <c r="M461" s="172">
        <f aca="true" t="shared" si="9" ref="M461:M466">C461</f>
        <v>50000001</v>
      </c>
      <c r="N461" s="157" t="s">
        <v>562</v>
      </c>
      <c r="O461" s="165" t="s">
        <v>562</v>
      </c>
      <c r="P461" s="165" t="s">
        <v>784</v>
      </c>
      <c r="Q461" s="199">
        <f aca="true" t="shared" si="10" ref="Q461:Q466">ROUND(G461*J461/M461,4)</f>
        <v>0.2086</v>
      </c>
      <c r="R461" s="157"/>
      <c r="S461" s="833"/>
    </row>
    <row r="462" spans="1:19" ht="21" customHeight="1">
      <c r="A462" s="157"/>
      <c r="B462" s="157"/>
      <c r="C462" s="176">
        <v>60000000</v>
      </c>
      <c r="D462" s="166">
        <v>18</v>
      </c>
      <c r="E462" s="198" t="s">
        <v>821</v>
      </c>
      <c r="F462" s="157" t="s">
        <v>789</v>
      </c>
      <c r="G462" s="172">
        <f>Q457</f>
        <v>104300</v>
      </c>
      <c r="H462" s="157"/>
      <c r="I462" s="165" t="s">
        <v>787</v>
      </c>
      <c r="J462" s="157">
        <v>100</v>
      </c>
      <c r="K462" s="157"/>
      <c r="L462" s="157" t="s">
        <v>783</v>
      </c>
      <c r="M462" s="172">
        <f t="shared" si="9"/>
        <v>60000000</v>
      </c>
      <c r="N462" s="157" t="s">
        <v>562</v>
      </c>
      <c r="O462" s="165" t="s">
        <v>562</v>
      </c>
      <c r="P462" s="165" t="s">
        <v>784</v>
      </c>
      <c r="Q462" s="199">
        <f t="shared" si="10"/>
        <v>0.1738</v>
      </c>
      <c r="R462" s="157"/>
      <c r="S462" s="833"/>
    </row>
    <row r="463" spans="1:19" ht="21" customHeight="1">
      <c r="A463" s="157"/>
      <c r="B463" s="157"/>
      <c r="C463" s="176">
        <v>70000000</v>
      </c>
      <c r="D463" s="166">
        <v>20</v>
      </c>
      <c r="E463" s="198" t="s">
        <v>821</v>
      </c>
      <c r="F463" s="157" t="s">
        <v>789</v>
      </c>
      <c r="G463" s="172">
        <f>Q457</f>
        <v>104300</v>
      </c>
      <c r="H463" s="157"/>
      <c r="I463" s="165" t="s">
        <v>787</v>
      </c>
      <c r="J463" s="157">
        <v>100</v>
      </c>
      <c r="K463" s="157"/>
      <c r="L463" s="157" t="s">
        <v>783</v>
      </c>
      <c r="M463" s="172">
        <f t="shared" si="9"/>
        <v>70000000</v>
      </c>
      <c r="N463" s="157" t="s">
        <v>562</v>
      </c>
      <c r="O463" s="165" t="s">
        <v>562</v>
      </c>
      <c r="P463" s="165" t="s">
        <v>784</v>
      </c>
      <c r="Q463" s="199">
        <f t="shared" si="10"/>
        <v>0.149</v>
      </c>
      <c r="R463" s="157"/>
      <c r="S463" s="833"/>
    </row>
    <row r="464" spans="1:19" ht="21" customHeight="1">
      <c r="A464" s="157"/>
      <c r="B464" s="157"/>
      <c r="C464" s="176">
        <v>80000000</v>
      </c>
      <c r="D464" s="166">
        <v>20</v>
      </c>
      <c r="E464" s="198" t="s">
        <v>821</v>
      </c>
      <c r="F464" s="157" t="s">
        <v>789</v>
      </c>
      <c r="G464" s="172">
        <f>Q457</f>
        <v>104300</v>
      </c>
      <c r="H464" s="157"/>
      <c r="I464" s="165" t="s">
        <v>787</v>
      </c>
      <c r="J464" s="157">
        <v>100</v>
      </c>
      <c r="K464" s="157"/>
      <c r="L464" s="157" t="s">
        <v>783</v>
      </c>
      <c r="M464" s="172">
        <f t="shared" si="9"/>
        <v>80000000</v>
      </c>
      <c r="N464" s="157" t="s">
        <v>562</v>
      </c>
      <c r="O464" s="165" t="s">
        <v>562</v>
      </c>
      <c r="P464" s="165" t="s">
        <v>784</v>
      </c>
      <c r="Q464" s="199">
        <f t="shared" si="10"/>
        <v>0.1304</v>
      </c>
      <c r="R464" s="157"/>
      <c r="S464" s="833"/>
    </row>
    <row r="465" spans="1:19" ht="21" customHeight="1">
      <c r="A465" s="157"/>
      <c r="B465" s="157"/>
      <c r="C465" s="176">
        <v>90000000</v>
      </c>
      <c r="D465" s="166">
        <v>20</v>
      </c>
      <c r="E465" s="198" t="s">
        <v>821</v>
      </c>
      <c r="F465" s="157" t="s">
        <v>789</v>
      </c>
      <c r="G465" s="172">
        <f>Q457</f>
        <v>104300</v>
      </c>
      <c r="H465" s="157"/>
      <c r="I465" s="165" t="s">
        <v>787</v>
      </c>
      <c r="J465" s="157">
        <v>100</v>
      </c>
      <c r="K465" s="157"/>
      <c r="L465" s="157" t="s">
        <v>783</v>
      </c>
      <c r="M465" s="172">
        <f t="shared" si="9"/>
        <v>90000000</v>
      </c>
      <c r="N465" s="157" t="s">
        <v>562</v>
      </c>
      <c r="O465" s="165" t="s">
        <v>562</v>
      </c>
      <c r="P465" s="165" t="s">
        <v>784</v>
      </c>
      <c r="Q465" s="199">
        <f t="shared" si="10"/>
        <v>0.1159</v>
      </c>
      <c r="R465" s="157"/>
      <c r="S465" s="833"/>
    </row>
    <row r="466" spans="1:19" ht="21" customHeight="1">
      <c r="A466" s="157"/>
      <c r="B466" s="157"/>
      <c r="C466" s="176">
        <v>100000000</v>
      </c>
      <c r="D466" s="166">
        <v>20</v>
      </c>
      <c r="E466" s="198" t="s">
        <v>821</v>
      </c>
      <c r="F466" s="157" t="s">
        <v>789</v>
      </c>
      <c r="G466" s="172">
        <f>Q457</f>
        <v>104300</v>
      </c>
      <c r="H466" s="157"/>
      <c r="I466" s="165" t="s">
        <v>787</v>
      </c>
      <c r="J466" s="157">
        <v>100</v>
      </c>
      <c r="K466" s="157"/>
      <c r="L466" s="157" t="s">
        <v>783</v>
      </c>
      <c r="M466" s="172">
        <f t="shared" si="9"/>
        <v>100000000</v>
      </c>
      <c r="N466" s="157" t="s">
        <v>562</v>
      </c>
      <c r="O466" s="165" t="s">
        <v>562</v>
      </c>
      <c r="P466" s="165" t="s">
        <v>784</v>
      </c>
      <c r="Q466" s="199">
        <f t="shared" si="10"/>
        <v>0.1043</v>
      </c>
      <c r="R466" s="157"/>
      <c r="S466" s="833"/>
    </row>
    <row r="467" spans="1:19" ht="21" customHeight="1">
      <c r="A467" s="157"/>
      <c r="B467" s="157"/>
      <c r="C467" s="157" t="s">
        <v>562</v>
      </c>
      <c r="D467" s="157"/>
      <c r="E467" s="157"/>
      <c r="F467" s="157"/>
      <c r="G467" s="157"/>
      <c r="H467" s="157"/>
      <c r="I467" s="157"/>
      <c r="J467" s="157"/>
      <c r="K467" s="157"/>
      <c r="L467" s="157"/>
      <c r="M467" s="200" t="s">
        <v>823</v>
      </c>
      <c r="N467" s="157"/>
      <c r="O467" s="157" t="s">
        <v>562</v>
      </c>
      <c r="P467" s="165" t="s">
        <v>784</v>
      </c>
      <c r="Q467" s="246">
        <f>ROUND((Q461+Q462+Q463+Q464+Q465+Q466)/6,4)</f>
        <v>0.147</v>
      </c>
      <c r="R467" s="157"/>
      <c r="S467" s="833"/>
    </row>
    <row r="468" spans="1:19" ht="21" customHeight="1">
      <c r="A468" s="157"/>
      <c r="B468" s="157" t="s">
        <v>184</v>
      </c>
      <c r="C468" s="210" t="s">
        <v>185</v>
      </c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833"/>
    </row>
    <row r="469" spans="1:19" ht="21" customHeight="1">
      <c r="A469" s="157"/>
      <c r="B469" s="157"/>
      <c r="C469" s="157" t="s">
        <v>151</v>
      </c>
      <c r="D469" s="157"/>
      <c r="E469" s="166">
        <v>48</v>
      </c>
      <c r="F469" s="157"/>
      <c r="G469" s="157" t="s">
        <v>152</v>
      </c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833"/>
    </row>
    <row r="470" spans="1:19" ht="21" customHeight="1">
      <c r="A470" s="157"/>
      <c r="B470" s="157"/>
      <c r="C470" s="157" t="s">
        <v>153</v>
      </c>
      <c r="D470" s="157"/>
      <c r="E470" s="166">
        <v>1500</v>
      </c>
      <c r="F470" s="157"/>
      <c r="G470" s="157" t="s">
        <v>154</v>
      </c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833"/>
    </row>
    <row r="471" spans="1:19" ht="21" customHeight="1">
      <c r="A471" s="157"/>
      <c r="B471" s="157"/>
      <c r="C471" s="157" t="s">
        <v>155</v>
      </c>
      <c r="D471" s="157"/>
      <c r="E471" s="176">
        <f>E469*E470</f>
        <v>72000</v>
      </c>
      <c r="F471" s="157"/>
      <c r="G471" s="157" t="s">
        <v>156</v>
      </c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833"/>
    </row>
    <row r="472" spans="1:19" ht="21" customHeight="1">
      <c r="A472" s="157"/>
      <c r="B472" s="157"/>
      <c r="C472" s="157" t="s">
        <v>158</v>
      </c>
      <c r="D472" s="157"/>
      <c r="E472" s="166">
        <v>20</v>
      </c>
      <c r="F472" s="157"/>
      <c r="G472" s="157" t="s">
        <v>152</v>
      </c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833"/>
    </row>
    <row r="473" spans="1:19" ht="21" customHeight="1">
      <c r="A473" s="157"/>
      <c r="B473" s="157"/>
      <c r="C473" s="157" t="s">
        <v>153</v>
      </c>
      <c r="D473" s="157"/>
      <c r="E473" s="166">
        <v>1250</v>
      </c>
      <c r="F473" s="157"/>
      <c r="G473" s="157" t="s">
        <v>154</v>
      </c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833"/>
    </row>
    <row r="474" spans="1:19" ht="21" customHeight="1">
      <c r="A474" s="157"/>
      <c r="B474" s="157"/>
      <c r="C474" s="157" t="s">
        <v>161</v>
      </c>
      <c r="D474" s="157"/>
      <c r="E474" s="176">
        <f>E472*E473</f>
        <v>25000</v>
      </c>
      <c r="F474" s="157"/>
      <c r="G474" s="157" t="s">
        <v>156</v>
      </c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833"/>
    </row>
    <row r="475" spans="1:19" ht="21" customHeight="1">
      <c r="A475" s="157"/>
      <c r="B475" s="157"/>
      <c r="C475" s="157" t="s">
        <v>173</v>
      </c>
      <c r="D475" s="157"/>
      <c r="E475" s="166">
        <v>48</v>
      </c>
      <c r="F475" s="157"/>
      <c r="G475" s="157" t="s">
        <v>152</v>
      </c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833"/>
    </row>
    <row r="476" spans="1:19" ht="21" customHeight="1">
      <c r="A476" s="157"/>
      <c r="B476" s="157"/>
      <c r="C476" s="157" t="s">
        <v>153</v>
      </c>
      <c r="D476" s="157"/>
      <c r="E476" s="166">
        <v>1000</v>
      </c>
      <c r="F476" s="157"/>
      <c r="G476" s="157" t="s">
        <v>160</v>
      </c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833"/>
    </row>
    <row r="477" spans="1:19" ht="21" customHeight="1">
      <c r="A477" s="157"/>
      <c r="B477" s="157"/>
      <c r="C477" s="157" t="s">
        <v>175</v>
      </c>
      <c r="D477" s="157"/>
      <c r="E477" s="176">
        <f>E475*E476</f>
        <v>48000</v>
      </c>
      <c r="F477" s="157"/>
      <c r="G477" s="157" t="s">
        <v>156</v>
      </c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833"/>
    </row>
    <row r="478" spans="1:19" ht="21" customHeight="1">
      <c r="A478" s="157"/>
      <c r="B478" s="157"/>
      <c r="C478" s="157" t="s">
        <v>176</v>
      </c>
      <c r="D478" s="157"/>
      <c r="E478" s="166">
        <v>20</v>
      </c>
      <c r="F478" s="157"/>
      <c r="G478" s="157" t="s">
        <v>152</v>
      </c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833"/>
    </row>
    <row r="479" spans="1:19" ht="21" customHeight="1">
      <c r="A479" s="157"/>
      <c r="B479" s="157"/>
      <c r="C479" s="157" t="s">
        <v>153</v>
      </c>
      <c r="D479" s="157"/>
      <c r="E479" s="166">
        <v>1250</v>
      </c>
      <c r="F479" s="157"/>
      <c r="G479" s="157" t="s">
        <v>160</v>
      </c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833"/>
    </row>
    <row r="480" spans="1:19" ht="21" customHeight="1">
      <c r="A480" s="157"/>
      <c r="B480" s="157"/>
      <c r="C480" s="157" t="s">
        <v>177</v>
      </c>
      <c r="D480" s="157"/>
      <c r="E480" s="176">
        <f>E478*E479</f>
        <v>25000</v>
      </c>
      <c r="F480" s="157"/>
      <c r="G480" s="157" t="s">
        <v>156</v>
      </c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833"/>
    </row>
    <row r="481" spans="1:19" ht="21" customHeight="1">
      <c r="A481" s="157"/>
      <c r="B481" s="157"/>
      <c r="C481" s="157" t="s">
        <v>162</v>
      </c>
      <c r="D481" s="157"/>
      <c r="E481" s="166">
        <v>1</v>
      </c>
      <c r="F481" s="157"/>
      <c r="G481" s="157" t="s">
        <v>163</v>
      </c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833"/>
    </row>
    <row r="482" spans="1:19" ht="21" customHeight="1">
      <c r="A482" s="157"/>
      <c r="B482" s="157"/>
      <c r="C482" s="157" t="s">
        <v>164</v>
      </c>
      <c r="D482" s="157"/>
      <c r="E482" s="166">
        <v>3000</v>
      </c>
      <c r="F482" s="157"/>
      <c r="G482" s="157" t="s">
        <v>156</v>
      </c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833"/>
    </row>
    <row r="483" spans="1:19" ht="21" customHeight="1">
      <c r="A483" s="157"/>
      <c r="B483" s="157"/>
      <c r="C483" s="157" t="s">
        <v>165</v>
      </c>
      <c r="D483" s="157"/>
      <c r="E483" s="176">
        <f>E481*E482</f>
        <v>3000</v>
      </c>
      <c r="F483" s="157"/>
      <c r="G483" s="157" t="s">
        <v>156</v>
      </c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833"/>
    </row>
    <row r="484" spans="1:19" ht="21" customHeight="1">
      <c r="A484" s="157"/>
      <c r="B484" s="157"/>
      <c r="C484" s="157" t="s">
        <v>166</v>
      </c>
      <c r="D484" s="157"/>
      <c r="E484" s="244">
        <f>E471+E474+E477+E480+E483</f>
        <v>173000</v>
      </c>
      <c r="F484" s="157"/>
      <c r="G484" s="157" t="s">
        <v>156</v>
      </c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833"/>
    </row>
    <row r="485" spans="1:19" ht="21" customHeight="1">
      <c r="A485" s="157"/>
      <c r="B485" s="157"/>
      <c r="C485" s="157" t="s">
        <v>142</v>
      </c>
      <c r="D485" s="157"/>
      <c r="E485" s="157"/>
      <c r="F485" s="157" t="s">
        <v>789</v>
      </c>
      <c r="G485" s="245">
        <f>E484</f>
        <v>173000</v>
      </c>
      <c r="H485" s="157"/>
      <c r="I485" s="165" t="s">
        <v>787</v>
      </c>
      <c r="J485" s="157">
        <v>70</v>
      </c>
      <c r="K485" s="157"/>
      <c r="L485" s="165" t="s">
        <v>783</v>
      </c>
      <c r="M485" s="176">
        <v>100</v>
      </c>
      <c r="N485" s="157"/>
      <c r="O485" s="157"/>
      <c r="P485" s="165" t="s">
        <v>784</v>
      </c>
      <c r="Q485" s="244">
        <f>G485*J485/M485</f>
        <v>121100</v>
      </c>
      <c r="R485" s="157"/>
      <c r="S485" s="833"/>
    </row>
    <row r="486" spans="1:19" ht="21" customHeight="1">
      <c r="A486" s="835" t="s">
        <v>186</v>
      </c>
      <c r="B486" s="835"/>
      <c r="C486" s="835"/>
      <c r="D486" s="835"/>
      <c r="E486" s="835"/>
      <c r="F486" s="835"/>
      <c r="G486" s="835"/>
      <c r="H486" s="835"/>
      <c r="I486" s="835"/>
      <c r="J486" s="835"/>
      <c r="K486" s="835"/>
      <c r="L486" s="835"/>
      <c r="M486" s="835"/>
      <c r="N486" s="835"/>
      <c r="O486" s="835"/>
      <c r="P486" s="835"/>
      <c r="Q486" s="835"/>
      <c r="R486" s="835"/>
      <c r="S486" s="833"/>
    </row>
    <row r="487" spans="1:19" ht="21" customHeight="1">
      <c r="A487" s="157"/>
      <c r="B487" s="157" t="s">
        <v>562</v>
      </c>
      <c r="C487" s="165" t="s">
        <v>463</v>
      </c>
      <c r="D487" s="165" t="s">
        <v>478</v>
      </c>
      <c r="E487" s="165"/>
      <c r="F487" s="157"/>
      <c r="G487" s="836" t="s">
        <v>778</v>
      </c>
      <c r="H487" s="836"/>
      <c r="I487" s="836"/>
      <c r="J487" s="836"/>
      <c r="K487" s="836"/>
      <c r="L487" s="836"/>
      <c r="M487" s="836"/>
      <c r="N487" s="836"/>
      <c r="O487" s="836"/>
      <c r="P487" s="836"/>
      <c r="Q487" s="836"/>
      <c r="R487" s="836"/>
      <c r="S487" s="832" t="s">
        <v>187</v>
      </c>
    </row>
    <row r="488" spans="1:19" ht="21" customHeight="1">
      <c r="A488" s="157"/>
      <c r="B488" s="175" t="s">
        <v>788</v>
      </c>
      <c r="C488" s="176">
        <v>100000001</v>
      </c>
      <c r="D488" s="166">
        <v>20</v>
      </c>
      <c r="E488" s="198" t="s">
        <v>821</v>
      </c>
      <c r="F488" s="157" t="s">
        <v>789</v>
      </c>
      <c r="G488" s="172">
        <f>Q485</f>
        <v>121100</v>
      </c>
      <c r="H488" s="157"/>
      <c r="I488" s="165" t="s">
        <v>787</v>
      </c>
      <c r="J488" s="157">
        <v>100</v>
      </c>
      <c r="K488" s="157"/>
      <c r="L488" s="157" t="s">
        <v>783</v>
      </c>
      <c r="M488" s="172">
        <f>C488</f>
        <v>100000001</v>
      </c>
      <c r="N488" s="157" t="s">
        <v>562</v>
      </c>
      <c r="O488" s="165" t="s">
        <v>562</v>
      </c>
      <c r="P488" s="165" t="s">
        <v>784</v>
      </c>
      <c r="Q488" s="199">
        <f>ROUND(G488*J488/M488,4)</f>
        <v>0.1211</v>
      </c>
      <c r="R488" s="157"/>
      <c r="S488" s="833"/>
    </row>
    <row r="489" spans="1:19" ht="21" customHeight="1">
      <c r="A489" s="157"/>
      <c r="B489" s="157"/>
      <c r="C489" s="176">
        <v>150000000</v>
      </c>
      <c r="D489" s="166">
        <v>22</v>
      </c>
      <c r="E489" s="198" t="s">
        <v>821</v>
      </c>
      <c r="F489" s="157" t="s">
        <v>789</v>
      </c>
      <c r="G489" s="172">
        <f>Q485</f>
        <v>121100</v>
      </c>
      <c r="H489" s="157"/>
      <c r="I489" s="165" t="s">
        <v>787</v>
      </c>
      <c r="J489" s="157">
        <v>100</v>
      </c>
      <c r="K489" s="157"/>
      <c r="L489" s="157" t="s">
        <v>783</v>
      </c>
      <c r="M489" s="172">
        <f>C489</f>
        <v>150000000</v>
      </c>
      <c r="N489" s="157" t="s">
        <v>562</v>
      </c>
      <c r="O489" s="165" t="s">
        <v>562</v>
      </c>
      <c r="P489" s="165" t="s">
        <v>784</v>
      </c>
      <c r="Q489" s="199">
        <f>ROUND(G489*J489/M489,4)</f>
        <v>0.0807</v>
      </c>
      <c r="R489" s="157"/>
      <c r="S489" s="833"/>
    </row>
    <row r="490" spans="1:19" ht="21" customHeight="1">
      <c r="A490" s="157"/>
      <c r="B490" s="157"/>
      <c r="C490" s="176">
        <v>200000000</v>
      </c>
      <c r="D490" s="166">
        <v>24</v>
      </c>
      <c r="E490" s="198" t="s">
        <v>821</v>
      </c>
      <c r="F490" s="157" t="s">
        <v>789</v>
      </c>
      <c r="G490" s="172">
        <f>Q485</f>
        <v>121100</v>
      </c>
      <c r="H490" s="157"/>
      <c r="I490" s="165" t="s">
        <v>787</v>
      </c>
      <c r="J490" s="157">
        <v>100</v>
      </c>
      <c r="K490" s="157"/>
      <c r="L490" s="157" t="s">
        <v>783</v>
      </c>
      <c r="M490" s="172">
        <f>C490</f>
        <v>200000000</v>
      </c>
      <c r="N490" s="157" t="s">
        <v>562</v>
      </c>
      <c r="O490" s="165" t="s">
        <v>562</v>
      </c>
      <c r="P490" s="165" t="s">
        <v>784</v>
      </c>
      <c r="Q490" s="199">
        <f>ROUND(G490*J490/M490,4)</f>
        <v>0.0606</v>
      </c>
      <c r="R490" s="157"/>
      <c r="S490" s="833"/>
    </row>
    <row r="491" spans="1:19" ht="21" customHeight="1">
      <c r="A491" s="157"/>
      <c r="B491" s="157"/>
      <c r="C491" s="176">
        <v>250000000</v>
      </c>
      <c r="D491" s="166">
        <v>28</v>
      </c>
      <c r="E491" s="198" t="s">
        <v>821</v>
      </c>
      <c r="F491" s="157" t="s">
        <v>789</v>
      </c>
      <c r="G491" s="172">
        <f>Q485</f>
        <v>121100</v>
      </c>
      <c r="H491" s="157"/>
      <c r="I491" s="165" t="s">
        <v>787</v>
      </c>
      <c r="J491" s="157">
        <v>100</v>
      </c>
      <c r="K491" s="157"/>
      <c r="L491" s="157" t="s">
        <v>783</v>
      </c>
      <c r="M491" s="172">
        <f>C491</f>
        <v>250000000</v>
      </c>
      <c r="N491" s="157" t="s">
        <v>562</v>
      </c>
      <c r="O491" s="165" t="s">
        <v>562</v>
      </c>
      <c r="P491" s="165" t="s">
        <v>784</v>
      </c>
      <c r="Q491" s="199">
        <f>ROUND(G491*J491/M491,4)</f>
        <v>0.0484</v>
      </c>
      <c r="R491" s="157"/>
      <c r="S491" s="833"/>
    </row>
    <row r="492" spans="1:19" ht="21" customHeight="1">
      <c r="A492" s="157"/>
      <c r="B492" s="157"/>
      <c r="C492" s="176">
        <v>300000000</v>
      </c>
      <c r="D492" s="166">
        <v>30</v>
      </c>
      <c r="E492" s="198" t="s">
        <v>821</v>
      </c>
      <c r="F492" s="157" t="s">
        <v>789</v>
      </c>
      <c r="G492" s="172">
        <f>Q485</f>
        <v>121100</v>
      </c>
      <c r="H492" s="157"/>
      <c r="I492" s="165" t="s">
        <v>787</v>
      </c>
      <c r="J492" s="157">
        <v>100</v>
      </c>
      <c r="K492" s="157"/>
      <c r="L492" s="157" t="s">
        <v>783</v>
      </c>
      <c r="M492" s="172">
        <f>C492</f>
        <v>300000000</v>
      </c>
      <c r="N492" s="157" t="s">
        <v>562</v>
      </c>
      <c r="O492" s="165" t="s">
        <v>562</v>
      </c>
      <c r="P492" s="165" t="s">
        <v>784</v>
      </c>
      <c r="Q492" s="199">
        <f>ROUND(G492*J492/M492,4)</f>
        <v>0.0404</v>
      </c>
      <c r="R492" s="157"/>
      <c r="S492" s="833"/>
    </row>
    <row r="493" spans="1:19" ht="21" customHeight="1">
      <c r="A493" s="157"/>
      <c r="B493" s="157"/>
      <c r="C493" s="157" t="s">
        <v>562</v>
      </c>
      <c r="D493" s="157"/>
      <c r="E493" s="157"/>
      <c r="F493" s="157"/>
      <c r="G493" s="157"/>
      <c r="H493" s="157"/>
      <c r="I493" s="157"/>
      <c r="J493" s="157"/>
      <c r="K493" s="157"/>
      <c r="L493" s="157"/>
      <c r="M493" s="200" t="s">
        <v>823</v>
      </c>
      <c r="N493" s="157"/>
      <c r="O493" s="157"/>
      <c r="P493" s="165" t="s">
        <v>784</v>
      </c>
      <c r="Q493" s="201">
        <f>ROUND((Q488+Q489+Q490+Q491+Q492)/5,4)</f>
        <v>0.0702</v>
      </c>
      <c r="R493" s="157"/>
      <c r="S493" s="833"/>
    </row>
    <row r="494" spans="1:19" ht="21" customHeight="1">
      <c r="A494" s="157"/>
      <c r="B494" s="157" t="s">
        <v>188</v>
      </c>
      <c r="C494" s="210" t="s">
        <v>189</v>
      </c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833"/>
    </row>
    <row r="495" spans="1:19" ht="21" customHeight="1">
      <c r="A495" s="157"/>
      <c r="B495" s="157"/>
      <c r="C495" s="157" t="s">
        <v>151</v>
      </c>
      <c r="D495" s="157"/>
      <c r="E495" s="166">
        <v>80</v>
      </c>
      <c r="F495" s="157"/>
      <c r="G495" s="157" t="s">
        <v>152</v>
      </c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833"/>
    </row>
    <row r="496" spans="1:19" ht="21" customHeight="1">
      <c r="A496" s="157"/>
      <c r="B496" s="157"/>
      <c r="C496" s="157" t="s">
        <v>153</v>
      </c>
      <c r="D496" s="157"/>
      <c r="E496" s="166">
        <v>1500</v>
      </c>
      <c r="F496" s="157"/>
      <c r="G496" s="157" t="s">
        <v>154</v>
      </c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833"/>
    </row>
    <row r="497" spans="1:19" ht="21" customHeight="1">
      <c r="A497" s="157"/>
      <c r="B497" s="157"/>
      <c r="C497" s="157" t="s">
        <v>155</v>
      </c>
      <c r="D497" s="157"/>
      <c r="E497" s="176">
        <f>E495*E496</f>
        <v>120000</v>
      </c>
      <c r="F497" s="157"/>
      <c r="G497" s="157" t="s">
        <v>156</v>
      </c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833"/>
    </row>
    <row r="498" spans="1:19" ht="21" customHeight="1">
      <c r="A498" s="157"/>
      <c r="B498" s="157"/>
      <c r="C498" s="157" t="s">
        <v>158</v>
      </c>
      <c r="D498" s="157"/>
      <c r="E498" s="166">
        <v>20</v>
      </c>
      <c r="F498" s="157"/>
      <c r="G498" s="157" t="s">
        <v>152</v>
      </c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833"/>
    </row>
    <row r="499" spans="1:19" ht="21" customHeight="1">
      <c r="A499" s="157"/>
      <c r="B499" s="157"/>
      <c r="C499" s="157" t="s">
        <v>153</v>
      </c>
      <c r="D499" s="157"/>
      <c r="E499" s="166">
        <v>1250</v>
      </c>
      <c r="F499" s="157"/>
      <c r="G499" s="157" t="s">
        <v>154</v>
      </c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833"/>
    </row>
    <row r="500" spans="1:19" ht="21" customHeight="1">
      <c r="A500" s="157"/>
      <c r="B500" s="157"/>
      <c r="C500" s="157" t="s">
        <v>161</v>
      </c>
      <c r="D500" s="157"/>
      <c r="E500" s="176">
        <f>E498*E499</f>
        <v>25000</v>
      </c>
      <c r="F500" s="157"/>
      <c r="G500" s="157" t="s">
        <v>156</v>
      </c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833"/>
    </row>
    <row r="501" spans="1:19" ht="21" customHeight="1">
      <c r="A501" s="157"/>
      <c r="B501" s="157"/>
      <c r="C501" s="157" t="s">
        <v>173</v>
      </c>
      <c r="D501" s="157"/>
      <c r="E501" s="166">
        <v>48</v>
      </c>
      <c r="F501" s="157"/>
      <c r="G501" s="157" t="s">
        <v>152</v>
      </c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833"/>
    </row>
    <row r="502" spans="1:19" ht="21" customHeight="1">
      <c r="A502" s="157"/>
      <c r="B502" s="157"/>
      <c r="C502" s="157" t="s">
        <v>153</v>
      </c>
      <c r="D502" s="157"/>
      <c r="E502" s="166">
        <v>1000</v>
      </c>
      <c r="F502" s="157"/>
      <c r="G502" s="157" t="s">
        <v>160</v>
      </c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833"/>
    </row>
    <row r="503" spans="1:19" ht="21" customHeight="1">
      <c r="A503" s="157"/>
      <c r="B503" s="157"/>
      <c r="C503" s="157" t="s">
        <v>175</v>
      </c>
      <c r="D503" s="157"/>
      <c r="E503" s="176">
        <f>E501*E502</f>
        <v>48000</v>
      </c>
      <c r="F503" s="157"/>
      <c r="G503" s="157" t="s">
        <v>156</v>
      </c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833"/>
    </row>
    <row r="504" spans="1:19" ht="21" customHeight="1">
      <c r="A504" s="157"/>
      <c r="B504" s="157"/>
      <c r="C504" s="157" t="s">
        <v>176</v>
      </c>
      <c r="D504" s="157"/>
      <c r="E504" s="166">
        <v>20</v>
      </c>
      <c r="F504" s="157"/>
      <c r="G504" s="157" t="s">
        <v>152</v>
      </c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833"/>
    </row>
    <row r="505" spans="1:19" ht="21" customHeight="1">
      <c r="A505" s="157"/>
      <c r="B505" s="157"/>
      <c r="C505" s="157" t="s">
        <v>153</v>
      </c>
      <c r="D505" s="157"/>
      <c r="E505" s="166">
        <v>1250</v>
      </c>
      <c r="F505" s="157"/>
      <c r="G505" s="157" t="s">
        <v>160</v>
      </c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833"/>
    </row>
    <row r="506" spans="1:19" ht="21" customHeight="1">
      <c r="A506" s="157"/>
      <c r="B506" s="157"/>
      <c r="C506" s="157" t="s">
        <v>177</v>
      </c>
      <c r="D506" s="157"/>
      <c r="E506" s="176">
        <f>E504*E505</f>
        <v>25000</v>
      </c>
      <c r="F506" s="157"/>
      <c r="G506" s="157" t="s">
        <v>156</v>
      </c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833"/>
    </row>
    <row r="507" spans="1:19" ht="21" customHeight="1">
      <c r="A507" s="157"/>
      <c r="B507" s="157"/>
      <c r="C507" s="157" t="s">
        <v>162</v>
      </c>
      <c r="D507" s="157"/>
      <c r="E507" s="166">
        <v>2</v>
      </c>
      <c r="F507" s="157"/>
      <c r="G507" s="157" t="s">
        <v>163</v>
      </c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833"/>
    </row>
    <row r="508" spans="1:19" ht="21" customHeight="1">
      <c r="A508" s="157"/>
      <c r="B508" s="157"/>
      <c r="C508" s="157" t="s">
        <v>164</v>
      </c>
      <c r="D508" s="157"/>
      <c r="E508" s="166">
        <v>3000</v>
      </c>
      <c r="F508" s="157"/>
      <c r="G508" s="157" t="s">
        <v>156</v>
      </c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833"/>
    </row>
    <row r="509" spans="1:19" ht="21" customHeight="1">
      <c r="A509" s="157"/>
      <c r="B509" s="157"/>
      <c r="C509" s="157" t="s">
        <v>165</v>
      </c>
      <c r="D509" s="157"/>
      <c r="E509" s="176">
        <f>E507*E508</f>
        <v>6000</v>
      </c>
      <c r="F509" s="157"/>
      <c r="G509" s="157" t="s">
        <v>156</v>
      </c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833"/>
    </row>
    <row r="510" spans="1:19" ht="21" customHeight="1">
      <c r="A510" s="157"/>
      <c r="B510" s="157"/>
      <c r="C510" s="157" t="s">
        <v>166</v>
      </c>
      <c r="D510" s="157"/>
      <c r="E510" s="244">
        <f>E497+E500+E503+E506+E509</f>
        <v>224000</v>
      </c>
      <c r="F510" s="157"/>
      <c r="G510" s="157" t="s">
        <v>156</v>
      </c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833"/>
    </row>
    <row r="511" spans="1:19" ht="21" customHeight="1">
      <c r="A511" s="157"/>
      <c r="B511" s="157"/>
      <c r="C511" s="157" t="s">
        <v>142</v>
      </c>
      <c r="D511" s="157"/>
      <c r="E511" s="157"/>
      <c r="F511" s="157" t="s">
        <v>789</v>
      </c>
      <c r="G511" s="245">
        <f>E510</f>
        <v>224000</v>
      </c>
      <c r="H511" s="157"/>
      <c r="I511" s="165" t="s">
        <v>787</v>
      </c>
      <c r="J511" s="157">
        <v>70</v>
      </c>
      <c r="K511" s="157"/>
      <c r="L511" s="165" t="s">
        <v>783</v>
      </c>
      <c r="M511" s="176">
        <v>100</v>
      </c>
      <c r="N511" s="157"/>
      <c r="O511" s="157"/>
      <c r="P511" s="165" t="s">
        <v>784</v>
      </c>
      <c r="Q511" s="244">
        <f>G511*J511/M511</f>
        <v>156800</v>
      </c>
      <c r="R511" s="157"/>
      <c r="S511" s="833"/>
    </row>
    <row r="512" spans="1:19" ht="21" customHeight="1">
      <c r="A512" s="157"/>
      <c r="B512" s="157" t="s">
        <v>562</v>
      </c>
      <c r="C512" s="157" t="s">
        <v>562</v>
      </c>
      <c r="D512" s="157" t="s">
        <v>562</v>
      </c>
      <c r="E512" s="157" t="s">
        <v>562</v>
      </c>
      <c r="F512" s="157" t="s">
        <v>562</v>
      </c>
      <c r="G512" s="157" t="s">
        <v>562</v>
      </c>
      <c r="H512" s="157" t="s">
        <v>562</v>
      </c>
      <c r="I512" s="157" t="s">
        <v>562</v>
      </c>
      <c r="J512" s="157" t="s">
        <v>562</v>
      </c>
      <c r="K512" s="157" t="s">
        <v>562</v>
      </c>
      <c r="L512" s="157" t="s">
        <v>562</v>
      </c>
      <c r="M512" s="157" t="s">
        <v>562</v>
      </c>
      <c r="N512" s="157" t="s">
        <v>562</v>
      </c>
      <c r="O512" s="157" t="s">
        <v>562</v>
      </c>
      <c r="P512" s="157" t="s">
        <v>562</v>
      </c>
      <c r="Q512" s="157" t="s">
        <v>562</v>
      </c>
      <c r="R512" s="157" t="s">
        <v>562</v>
      </c>
      <c r="S512" s="833"/>
    </row>
    <row r="513" spans="1:19" ht="21" customHeight="1">
      <c r="A513" s="835" t="s">
        <v>190</v>
      </c>
      <c r="B513" s="835"/>
      <c r="C513" s="835"/>
      <c r="D513" s="835"/>
      <c r="E513" s="835"/>
      <c r="F513" s="835"/>
      <c r="G513" s="835"/>
      <c r="H513" s="835"/>
      <c r="I513" s="835"/>
      <c r="J513" s="835"/>
      <c r="K513" s="835"/>
      <c r="L513" s="835"/>
      <c r="M513" s="835"/>
      <c r="N513" s="835"/>
      <c r="O513" s="835"/>
      <c r="P513" s="835"/>
      <c r="Q513" s="835"/>
      <c r="R513" s="835"/>
      <c r="S513" s="833"/>
    </row>
    <row r="514" spans="1:19" ht="21" customHeight="1">
      <c r="A514" s="157"/>
      <c r="B514" s="157" t="s">
        <v>562</v>
      </c>
      <c r="C514" s="157" t="s">
        <v>562</v>
      </c>
      <c r="D514" s="157" t="s">
        <v>562</v>
      </c>
      <c r="E514" s="157" t="s">
        <v>562</v>
      </c>
      <c r="F514" s="157" t="s">
        <v>562</v>
      </c>
      <c r="G514" s="157" t="s">
        <v>562</v>
      </c>
      <c r="H514" s="157" t="s">
        <v>562</v>
      </c>
      <c r="I514" s="157" t="s">
        <v>562</v>
      </c>
      <c r="J514" s="157" t="s">
        <v>562</v>
      </c>
      <c r="K514" s="157" t="s">
        <v>562</v>
      </c>
      <c r="L514" s="157" t="s">
        <v>562</v>
      </c>
      <c r="M514" s="157" t="s">
        <v>562</v>
      </c>
      <c r="N514" s="157" t="s">
        <v>562</v>
      </c>
      <c r="O514" s="157" t="s">
        <v>562</v>
      </c>
      <c r="P514" s="157" t="s">
        <v>562</v>
      </c>
      <c r="Q514" s="157" t="s">
        <v>562</v>
      </c>
      <c r="R514" s="157" t="s">
        <v>562</v>
      </c>
      <c r="S514" s="832" t="s">
        <v>191</v>
      </c>
    </row>
    <row r="515" spans="1:19" ht="21" customHeight="1">
      <c r="A515" s="157"/>
      <c r="B515" s="157" t="s">
        <v>562</v>
      </c>
      <c r="C515" s="165" t="s">
        <v>463</v>
      </c>
      <c r="D515" s="165" t="s">
        <v>478</v>
      </c>
      <c r="E515" s="165"/>
      <c r="F515" s="157"/>
      <c r="G515" s="836" t="s">
        <v>778</v>
      </c>
      <c r="H515" s="836"/>
      <c r="I515" s="836"/>
      <c r="J515" s="836"/>
      <c r="K515" s="836"/>
      <c r="L515" s="836"/>
      <c r="M515" s="836"/>
      <c r="N515" s="836"/>
      <c r="O515" s="836"/>
      <c r="P515" s="836"/>
      <c r="Q515" s="836"/>
      <c r="R515" s="836"/>
      <c r="S515" s="833"/>
    </row>
    <row r="516" spans="1:19" ht="21" customHeight="1">
      <c r="A516" s="157"/>
      <c r="B516" s="175" t="s">
        <v>788</v>
      </c>
      <c r="C516" s="176">
        <v>300000001</v>
      </c>
      <c r="D516" s="166">
        <v>30</v>
      </c>
      <c r="E516" s="198" t="s">
        <v>821</v>
      </c>
      <c r="F516" s="157" t="s">
        <v>789</v>
      </c>
      <c r="G516" s="172">
        <f>Q511</f>
        <v>156800</v>
      </c>
      <c r="H516" s="157"/>
      <c r="I516" s="165" t="s">
        <v>787</v>
      </c>
      <c r="J516" s="157">
        <v>100</v>
      </c>
      <c r="K516" s="157"/>
      <c r="L516" s="157" t="s">
        <v>783</v>
      </c>
      <c r="M516" s="172">
        <f>C516</f>
        <v>300000001</v>
      </c>
      <c r="N516" s="157" t="s">
        <v>562</v>
      </c>
      <c r="O516" s="165" t="s">
        <v>562</v>
      </c>
      <c r="P516" s="165" t="s">
        <v>784</v>
      </c>
      <c r="Q516" s="199">
        <f>ROUND(G516*J516/M516,4)</f>
        <v>0.0523</v>
      </c>
      <c r="R516" s="157"/>
      <c r="S516" s="833"/>
    </row>
    <row r="517" spans="1:19" ht="21" customHeight="1">
      <c r="A517" s="157"/>
      <c r="B517" s="157"/>
      <c r="C517" s="176">
        <v>350000000</v>
      </c>
      <c r="D517" s="166">
        <v>32</v>
      </c>
      <c r="E517" s="198" t="s">
        <v>821</v>
      </c>
      <c r="F517" s="157" t="s">
        <v>789</v>
      </c>
      <c r="G517" s="172">
        <f>Q511</f>
        <v>156800</v>
      </c>
      <c r="H517" s="157"/>
      <c r="I517" s="165" t="s">
        <v>787</v>
      </c>
      <c r="J517" s="157">
        <v>100</v>
      </c>
      <c r="K517" s="157"/>
      <c r="L517" s="157" t="s">
        <v>783</v>
      </c>
      <c r="M517" s="172">
        <f>C517</f>
        <v>350000000</v>
      </c>
      <c r="N517" s="157" t="s">
        <v>562</v>
      </c>
      <c r="O517" s="165" t="s">
        <v>562</v>
      </c>
      <c r="P517" s="165" t="s">
        <v>784</v>
      </c>
      <c r="Q517" s="199">
        <f>ROUND(G517*J517/M517,4)</f>
        <v>0.0448</v>
      </c>
      <c r="R517" s="157"/>
      <c r="S517" s="833"/>
    </row>
    <row r="518" spans="1:19" ht="21" customHeight="1">
      <c r="A518" s="157"/>
      <c r="B518" s="157"/>
      <c r="C518" s="176">
        <v>400000000</v>
      </c>
      <c r="D518" s="166">
        <v>36</v>
      </c>
      <c r="E518" s="198" t="s">
        <v>821</v>
      </c>
      <c r="F518" s="157" t="s">
        <v>789</v>
      </c>
      <c r="G518" s="172">
        <f>Q511</f>
        <v>156800</v>
      </c>
      <c r="H518" s="157"/>
      <c r="I518" s="165" t="s">
        <v>787</v>
      </c>
      <c r="J518" s="157">
        <v>100</v>
      </c>
      <c r="K518" s="157"/>
      <c r="L518" s="157" t="s">
        <v>783</v>
      </c>
      <c r="M518" s="172">
        <f>C518</f>
        <v>400000000</v>
      </c>
      <c r="N518" s="157" t="s">
        <v>562</v>
      </c>
      <c r="O518" s="165" t="s">
        <v>562</v>
      </c>
      <c r="P518" s="165" t="s">
        <v>784</v>
      </c>
      <c r="Q518" s="199">
        <f>ROUND(G518*J518/M518,4)</f>
        <v>0.0392</v>
      </c>
      <c r="R518" s="157"/>
      <c r="S518" s="833"/>
    </row>
    <row r="519" spans="1:19" ht="21" customHeight="1">
      <c r="A519" s="157"/>
      <c r="B519" s="157"/>
      <c r="C519" s="176">
        <v>500000000</v>
      </c>
      <c r="D519" s="166">
        <v>36</v>
      </c>
      <c r="E519" s="198" t="s">
        <v>821</v>
      </c>
      <c r="F519" s="157" t="s">
        <v>789</v>
      </c>
      <c r="G519" s="172">
        <f>Q511</f>
        <v>156800</v>
      </c>
      <c r="H519" s="157"/>
      <c r="I519" s="165" t="s">
        <v>787</v>
      </c>
      <c r="J519" s="157">
        <v>100</v>
      </c>
      <c r="K519" s="157"/>
      <c r="L519" s="157" t="s">
        <v>783</v>
      </c>
      <c r="M519" s="172">
        <f>C519</f>
        <v>500000000</v>
      </c>
      <c r="N519" s="157" t="s">
        <v>562</v>
      </c>
      <c r="O519" s="165" t="s">
        <v>562</v>
      </c>
      <c r="P519" s="165" t="s">
        <v>784</v>
      </c>
      <c r="Q519" s="199">
        <f>ROUND(G519*J519/M519,4)</f>
        <v>0.0314</v>
      </c>
      <c r="R519" s="157"/>
      <c r="S519" s="833"/>
    </row>
    <row r="520" spans="1:19" ht="21" customHeight="1">
      <c r="A520" s="157"/>
      <c r="B520" s="157"/>
      <c r="C520" s="157" t="s">
        <v>562</v>
      </c>
      <c r="D520" s="157"/>
      <c r="E520" s="157"/>
      <c r="F520" s="157"/>
      <c r="G520" s="157"/>
      <c r="H520" s="157"/>
      <c r="I520" s="157"/>
      <c r="J520" s="157"/>
      <c r="K520" s="157"/>
      <c r="L520" s="157"/>
      <c r="M520" s="200" t="s">
        <v>823</v>
      </c>
      <c r="N520" s="157"/>
      <c r="O520" s="157"/>
      <c r="P520" s="165" t="s">
        <v>784</v>
      </c>
      <c r="Q520" s="201">
        <f>ROUND((Q516+Q517+Q518+Q519)/4,4)</f>
        <v>0.0419</v>
      </c>
      <c r="R520" s="157"/>
      <c r="S520" s="833"/>
    </row>
    <row r="521" spans="1:19" ht="21" customHeight="1">
      <c r="A521" s="157"/>
      <c r="B521" s="157" t="s">
        <v>192</v>
      </c>
      <c r="C521" s="210" t="s">
        <v>193</v>
      </c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833"/>
    </row>
    <row r="522" spans="1:19" ht="21" customHeight="1">
      <c r="A522" s="157"/>
      <c r="B522" s="157"/>
      <c r="C522" s="157" t="s">
        <v>151</v>
      </c>
      <c r="D522" s="157"/>
      <c r="E522" s="166">
        <v>120</v>
      </c>
      <c r="F522" s="157"/>
      <c r="G522" s="157" t="s">
        <v>152</v>
      </c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833"/>
    </row>
    <row r="523" spans="1:19" ht="21" customHeight="1">
      <c r="A523" s="157"/>
      <c r="B523" s="157"/>
      <c r="C523" s="157" t="s">
        <v>153</v>
      </c>
      <c r="D523" s="157"/>
      <c r="E523" s="166">
        <v>1500</v>
      </c>
      <c r="F523" s="157"/>
      <c r="G523" s="157" t="s">
        <v>154</v>
      </c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833"/>
    </row>
    <row r="524" spans="1:19" ht="21" customHeight="1">
      <c r="A524" s="157"/>
      <c r="B524" s="157"/>
      <c r="C524" s="157" t="s">
        <v>155</v>
      </c>
      <c r="D524" s="157"/>
      <c r="E524" s="176">
        <f>E522*E523</f>
        <v>180000</v>
      </c>
      <c r="F524" s="157"/>
      <c r="G524" s="157" t="s">
        <v>156</v>
      </c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833"/>
    </row>
    <row r="525" spans="1:19" ht="21" customHeight="1">
      <c r="A525" s="157"/>
      <c r="B525" s="157"/>
      <c r="C525" s="157" t="s">
        <v>158</v>
      </c>
      <c r="D525" s="157"/>
      <c r="E525" s="166">
        <v>20</v>
      </c>
      <c r="F525" s="157"/>
      <c r="G525" s="157" t="s">
        <v>152</v>
      </c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833"/>
    </row>
    <row r="526" spans="1:19" ht="21" customHeight="1">
      <c r="A526" s="157"/>
      <c r="B526" s="157"/>
      <c r="C526" s="157" t="s">
        <v>153</v>
      </c>
      <c r="D526" s="157"/>
      <c r="E526" s="166">
        <v>1250</v>
      </c>
      <c r="F526" s="157"/>
      <c r="G526" s="157" t="s">
        <v>154</v>
      </c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833"/>
    </row>
    <row r="527" spans="1:19" ht="21" customHeight="1">
      <c r="A527" s="157"/>
      <c r="B527" s="157"/>
      <c r="C527" s="157" t="s">
        <v>161</v>
      </c>
      <c r="D527" s="157"/>
      <c r="E527" s="176">
        <f>E525*E526</f>
        <v>25000</v>
      </c>
      <c r="F527" s="157"/>
      <c r="G527" s="157" t="s">
        <v>156</v>
      </c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833"/>
    </row>
    <row r="528" spans="1:19" ht="21" customHeight="1">
      <c r="A528" s="157"/>
      <c r="B528" s="157"/>
      <c r="C528" s="157" t="s">
        <v>173</v>
      </c>
      <c r="D528" s="157"/>
      <c r="E528" s="247">
        <v>48</v>
      </c>
      <c r="F528" s="157"/>
      <c r="G528" s="157" t="s">
        <v>152</v>
      </c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833"/>
    </row>
    <row r="529" spans="1:19" ht="21" customHeight="1">
      <c r="A529" s="157"/>
      <c r="B529" s="157"/>
      <c r="C529" s="157" t="s">
        <v>153</v>
      </c>
      <c r="D529" s="157"/>
      <c r="E529" s="166">
        <v>1000</v>
      </c>
      <c r="F529" s="157"/>
      <c r="G529" s="157" t="s">
        <v>160</v>
      </c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833"/>
    </row>
    <row r="530" spans="1:19" ht="21" customHeight="1">
      <c r="A530" s="157"/>
      <c r="B530" s="157"/>
      <c r="C530" s="157" t="s">
        <v>175</v>
      </c>
      <c r="D530" s="157"/>
      <c r="E530" s="176">
        <f>E528*E529</f>
        <v>48000</v>
      </c>
      <c r="F530" s="157"/>
      <c r="G530" s="157" t="s">
        <v>156</v>
      </c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833"/>
    </row>
    <row r="531" spans="1:19" ht="21" customHeight="1">
      <c r="A531" s="157"/>
      <c r="B531" s="157"/>
      <c r="C531" s="157" t="s">
        <v>176</v>
      </c>
      <c r="D531" s="157"/>
      <c r="E531" s="247">
        <v>20</v>
      </c>
      <c r="F531" s="157"/>
      <c r="G531" s="157" t="s">
        <v>152</v>
      </c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833"/>
    </row>
    <row r="532" spans="1:19" ht="21" customHeight="1">
      <c r="A532" s="157"/>
      <c r="B532" s="157"/>
      <c r="C532" s="157" t="s">
        <v>153</v>
      </c>
      <c r="D532" s="157"/>
      <c r="E532" s="166">
        <v>1250</v>
      </c>
      <c r="F532" s="157"/>
      <c r="G532" s="157" t="s">
        <v>160</v>
      </c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833"/>
    </row>
    <row r="533" spans="1:19" ht="21" customHeight="1">
      <c r="A533" s="157"/>
      <c r="B533" s="157"/>
      <c r="C533" s="157" t="s">
        <v>177</v>
      </c>
      <c r="D533" s="157"/>
      <c r="E533" s="176">
        <f>E531*E532</f>
        <v>25000</v>
      </c>
      <c r="F533" s="157"/>
      <c r="G533" s="157" t="s">
        <v>156</v>
      </c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833"/>
    </row>
    <row r="534" spans="1:19" ht="21" customHeight="1">
      <c r="A534" s="157"/>
      <c r="B534" s="157"/>
      <c r="C534" s="157" t="s">
        <v>162</v>
      </c>
      <c r="D534" s="157"/>
      <c r="E534" s="166">
        <v>2</v>
      </c>
      <c r="F534" s="157"/>
      <c r="G534" s="157" t="s">
        <v>163</v>
      </c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833"/>
    </row>
    <row r="535" spans="1:19" ht="21" customHeight="1">
      <c r="A535" s="157"/>
      <c r="B535" s="157"/>
      <c r="C535" s="157" t="s">
        <v>164</v>
      </c>
      <c r="D535" s="157"/>
      <c r="E535" s="166">
        <v>3000</v>
      </c>
      <c r="F535" s="157"/>
      <c r="G535" s="157" t="s">
        <v>156</v>
      </c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833"/>
    </row>
    <row r="536" spans="1:19" ht="21" customHeight="1">
      <c r="A536" s="157"/>
      <c r="B536" s="157"/>
      <c r="C536" s="157" t="s">
        <v>165</v>
      </c>
      <c r="D536" s="157"/>
      <c r="E536" s="176">
        <f>E534*E535</f>
        <v>6000</v>
      </c>
      <c r="F536" s="157"/>
      <c r="G536" s="157" t="s">
        <v>156</v>
      </c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833"/>
    </row>
    <row r="537" spans="1:19" ht="21" customHeight="1">
      <c r="A537" s="157"/>
      <c r="B537" s="157"/>
      <c r="C537" s="157" t="s">
        <v>166</v>
      </c>
      <c r="D537" s="157"/>
      <c r="E537" s="244">
        <f>E524+E527+E530+E533+E536</f>
        <v>284000</v>
      </c>
      <c r="F537" s="157"/>
      <c r="G537" s="157" t="s">
        <v>156</v>
      </c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833"/>
    </row>
    <row r="538" spans="1:19" ht="21" customHeight="1">
      <c r="A538" s="157"/>
      <c r="B538" s="157"/>
      <c r="C538" s="157" t="s">
        <v>142</v>
      </c>
      <c r="D538" s="157"/>
      <c r="E538" s="157"/>
      <c r="F538" s="157" t="s">
        <v>789</v>
      </c>
      <c r="G538" s="245">
        <f>E537</f>
        <v>284000</v>
      </c>
      <c r="H538" s="157"/>
      <c r="I538" s="165" t="s">
        <v>787</v>
      </c>
      <c r="J538" s="157">
        <v>70</v>
      </c>
      <c r="K538" s="157"/>
      <c r="L538" s="165" t="s">
        <v>783</v>
      </c>
      <c r="M538" s="176">
        <v>100</v>
      </c>
      <c r="N538" s="157"/>
      <c r="O538" s="157"/>
      <c r="P538" s="165" t="s">
        <v>784</v>
      </c>
      <c r="Q538" s="244">
        <f>G538*J538/M538</f>
        <v>198800</v>
      </c>
      <c r="R538" s="157"/>
      <c r="S538" s="833"/>
    </row>
    <row r="539" spans="1:19" ht="21" customHeight="1">
      <c r="A539" s="157"/>
      <c r="B539" s="157" t="s">
        <v>562</v>
      </c>
      <c r="C539" s="157" t="s">
        <v>562</v>
      </c>
      <c r="D539" s="157" t="s">
        <v>562</v>
      </c>
      <c r="E539" s="157" t="s">
        <v>562</v>
      </c>
      <c r="F539" s="157" t="s">
        <v>562</v>
      </c>
      <c r="G539" s="157" t="s">
        <v>562</v>
      </c>
      <c r="H539" s="157" t="s">
        <v>562</v>
      </c>
      <c r="I539" s="157" t="s">
        <v>562</v>
      </c>
      <c r="J539" s="157" t="s">
        <v>562</v>
      </c>
      <c r="K539" s="157" t="s">
        <v>562</v>
      </c>
      <c r="L539" s="157" t="s">
        <v>562</v>
      </c>
      <c r="M539" s="157" t="s">
        <v>562</v>
      </c>
      <c r="N539" s="157" t="s">
        <v>562</v>
      </c>
      <c r="O539" s="157" t="s">
        <v>562</v>
      </c>
      <c r="P539" s="157" t="s">
        <v>562</v>
      </c>
      <c r="Q539" s="157" t="s">
        <v>562</v>
      </c>
      <c r="R539" s="157" t="s">
        <v>562</v>
      </c>
      <c r="S539" s="833"/>
    </row>
    <row r="540" spans="1:19" ht="21" customHeight="1">
      <c r="A540" s="835" t="s">
        <v>194</v>
      </c>
      <c r="B540" s="835"/>
      <c r="C540" s="835"/>
      <c r="D540" s="835"/>
      <c r="E540" s="835"/>
      <c r="F540" s="835"/>
      <c r="G540" s="835"/>
      <c r="H540" s="835"/>
      <c r="I540" s="835"/>
      <c r="J540" s="835"/>
      <c r="K540" s="835"/>
      <c r="L540" s="835"/>
      <c r="M540" s="835"/>
      <c r="N540" s="835"/>
      <c r="O540" s="835"/>
      <c r="P540" s="835"/>
      <c r="Q540" s="835"/>
      <c r="R540" s="835"/>
      <c r="S540" s="833"/>
    </row>
    <row r="541" spans="1:19" ht="21" customHeight="1">
      <c r="A541" s="157"/>
      <c r="B541" s="157" t="s">
        <v>562</v>
      </c>
      <c r="C541" s="165" t="s">
        <v>463</v>
      </c>
      <c r="D541" s="165" t="s">
        <v>478</v>
      </c>
      <c r="E541" s="165"/>
      <c r="F541" s="157"/>
      <c r="G541" s="836" t="s">
        <v>778</v>
      </c>
      <c r="H541" s="836"/>
      <c r="I541" s="836"/>
      <c r="J541" s="836"/>
      <c r="K541" s="836"/>
      <c r="L541" s="836"/>
      <c r="M541" s="836"/>
      <c r="N541" s="836"/>
      <c r="O541" s="836"/>
      <c r="P541" s="836"/>
      <c r="Q541" s="836"/>
      <c r="R541" s="836"/>
      <c r="S541" s="832" t="s">
        <v>195</v>
      </c>
    </row>
    <row r="542" spans="1:19" ht="21" customHeight="1">
      <c r="A542" s="157"/>
      <c r="B542" s="175" t="s">
        <v>788</v>
      </c>
      <c r="C542" s="176">
        <v>500000001</v>
      </c>
      <c r="D542" s="166">
        <v>36</v>
      </c>
      <c r="E542" s="198" t="s">
        <v>821</v>
      </c>
      <c r="F542" s="157" t="s">
        <v>789</v>
      </c>
      <c r="G542" s="172">
        <f>Q538</f>
        <v>198800</v>
      </c>
      <c r="H542" s="157"/>
      <c r="I542" s="165" t="s">
        <v>787</v>
      </c>
      <c r="J542" s="157">
        <v>100</v>
      </c>
      <c r="K542" s="157"/>
      <c r="L542" s="157" t="s">
        <v>783</v>
      </c>
      <c r="M542" s="172">
        <f>C542</f>
        <v>500000001</v>
      </c>
      <c r="N542" s="157" t="s">
        <v>562</v>
      </c>
      <c r="O542" s="165" t="s">
        <v>562</v>
      </c>
      <c r="P542" s="165" t="s">
        <v>784</v>
      </c>
      <c r="Q542" s="199">
        <f>ROUND(G542*J542/M542,4)</f>
        <v>0.0398</v>
      </c>
      <c r="R542" s="157"/>
      <c r="S542" s="833"/>
    </row>
    <row r="543" spans="1:19" ht="21" customHeight="1">
      <c r="A543" s="157"/>
      <c r="B543" s="157"/>
      <c r="C543" s="176">
        <v>1000000000</v>
      </c>
      <c r="D543" s="166">
        <v>40</v>
      </c>
      <c r="E543" s="198" t="s">
        <v>821</v>
      </c>
      <c r="F543" s="157" t="s">
        <v>789</v>
      </c>
      <c r="G543" s="172">
        <f>Q538</f>
        <v>198800</v>
      </c>
      <c r="H543" s="157"/>
      <c r="I543" s="165" t="s">
        <v>787</v>
      </c>
      <c r="J543" s="157">
        <v>100</v>
      </c>
      <c r="K543" s="157"/>
      <c r="L543" s="157" t="s">
        <v>783</v>
      </c>
      <c r="M543" s="172">
        <f>C543</f>
        <v>1000000000</v>
      </c>
      <c r="N543" s="157" t="s">
        <v>562</v>
      </c>
      <c r="O543" s="165" t="s">
        <v>562</v>
      </c>
      <c r="P543" s="165" t="s">
        <v>784</v>
      </c>
      <c r="Q543" s="199">
        <f>ROUND(G543*J543/M543,4)</f>
        <v>0.0199</v>
      </c>
      <c r="R543" s="157"/>
      <c r="S543" s="833"/>
    </row>
    <row r="544" spans="1:19" ht="21" customHeight="1">
      <c r="A544" s="157"/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200" t="s">
        <v>823</v>
      </c>
      <c r="N544" s="157"/>
      <c r="O544" s="157"/>
      <c r="P544" s="165" t="s">
        <v>784</v>
      </c>
      <c r="Q544" s="201">
        <f>ROUND((Q542+Q543)/2,4)</f>
        <v>0.0299</v>
      </c>
      <c r="R544" s="157"/>
      <c r="S544" s="833"/>
    </row>
    <row r="545" spans="1:19" ht="21" customHeight="1">
      <c r="A545" s="157"/>
      <c r="B545" s="211" t="s">
        <v>562</v>
      </c>
      <c r="C545" s="210" t="s">
        <v>196</v>
      </c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833"/>
    </row>
    <row r="546" spans="1:19" ht="21" customHeight="1">
      <c r="A546" s="157"/>
      <c r="B546" s="157"/>
      <c r="C546" s="157" t="s">
        <v>197</v>
      </c>
      <c r="D546" s="157"/>
      <c r="E546" s="157"/>
      <c r="F546" s="165" t="s">
        <v>789</v>
      </c>
      <c r="G546" s="178">
        <f>Q393</f>
        <v>2.6733</v>
      </c>
      <c r="H546" s="157"/>
      <c r="I546" s="164" t="s">
        <v>53</v>
      </c>
      <c r="J546" s="157"/>
      <c r="K546" s="157"/>
      <c r="L546" s="157"/>
      <c r="M546" s="157"/>
      <c r="N546" s="157"/>
      <c r="O546" s="157"/>
      <c r="P546" s="157"/>
      <c r="Q546" s="157"/>
      <c r="R546" s="157"/>
      <c r="S546" s="833"/>
    </row>
    <row r="547" spans="1:19" ht="21" customHeight="1">
      <c r="A547" s="157"/>
      <c r="B547" s="157"/>
      <c r="C547" s="157" t="s">
        <v>198</v>
      </c>
      <c r="D547" s="157"/>
      <c r="E547" s="157"/>
      <c r="F547" s="165" t="s">
        <v>789</v>
      </c>
      <c r="G547" s="178">
        <f>Q412</f>
        <v>0.2594</v>
      </c>
      <c r="H547" s="157"/>
      <c r="I547" s="164" t="s">
        <v>53</v>
      </c>
      <c r="J547" s="157"/>
      <c r="K547" s="157"/>
      <c r="L547" s="157"/>
      <c r="M547" s="157"/>
      <c r="N547" s="157"/>
      <c r="O547" s="157"/>
      <c r="P547" s="157"/>
      <c r="Q547" s="157"/>
      <c r="R547" s="157"/>
      <c r="S547" s="833"/>
    </row>
    <row r="548" spans="1:19" ht="21" customHeight="1">
      <c r="A548" s="157"/>
      <c r="B548" s="157"/>
      <c r="C548" s="157" t="s">
        <v>199</v>
      </c>
      <c r="D548" s="157"/>
      <c r="E548" s="157"/>
      <c r="F548" s="165" t="s">
        <v>789</v>
      </c>
      <c r="G548" s="178">
        <f>Q439</f>
        <v>0.2956</v>
      </c>
      <c r="H548" s="157"/>
      <c r="I548" s="164" t="s">
        <v>53</v>
      </c>
      <c r="J548" s="157"/>
      <c r="K548" s="157"/>
      <c r="L548" s="157"/>
      <c r="M548" s="157"/>
      <c r="N548" s="157"/>
      <c r="O548" s="157"/>
      <c r="P548" s="157"/>
      <c r="Q548" s="157"/>
      <c r="R548" s="157"/>
      <c r="S548" s="833"/>
    </row>
    <row r="549" spans="1:19" ht="21" customHeight="1">
      <c r="A549" s="157"/>
      <c r="B549" s="157"/>
      <c r="C549" s="157" t="s">
        <v>201</v>
      </c>
      <c r="D549" s="157"/>
      <c r="E549" s="157"/>
      <c r="F549" s="165" t="s">
        <v>789</v>
      </c>
      <c r="G549" s="178">
        <f>Q467</f>
        <v>0.147</v>
      </c>
      <c r="H549" s="157"/>
      <c r="I549" s="164" t="s">
        <v>53</v>
      </c>
      <c r="J549" s="157"/>
      <c r="K549" s="157"/>
      <c r="L549" s="157"/>
      <c r="M549" s="157"/>
      <c r="N549" s="157"/>
      <c r="O549" s="157"/>
      <c r="P549" s="157"/>
      <c r="Q549" s="157"/>
      <c r="R549" s="157"/>
      <c r="S549" s="833"/>
    </row>
    <row r="550" spans="1:19" ht="21" customHeight="1">
      <c r="A550" s="157"/>
      <c r="B550" s="157"/>
      <c r="C550" s="157" t="s">
        <v>202</v>
      </c>
      <c r="D550" s="157"/>
      <c r="E550" s="157"/>
      <c r="F550" s="165" t="s">
        <v>789</v>
      </c>
      <c r="G550" s="178">
        <f>Q493</f>
        <v>0.0702</v>
      </c>
      <c r="H550" s="157"/>
      <c r="I550" s="164" t="s">
        <v>53</v>
      </c>
      <c r="J550" s="157"/>
      <c r="K550" s="157"/>
      <c r="L550" s="157"/>
      <c r="M550" s="157"/>
      <c r="N550" s="157"/>
      <c r="O550" s="157"/>
      <c r="P550" s="157"/>
      <c r="Q550" s="157"/>
      <c r="R550" s="157"/>
      <c r="S550" s="833"/>
    </row>
    <row r="551" spans="1:19" ht="21" customHeight="1">
      <c r="A551" s="157"/>
      <c r="B551" s="157"/>
      <c r="C551" s="157" t="s">
        <v>203</v>
      </c>
      <c r="D551" s="157"/>
      <c r="E551" s="157"/>
      <c r="F551" s="165" t="s">
        <v>789</v>
      </c>
      <c r="G551" s="178">
        <f>Q520</f>
        <v>0.0419</v>
      </c>
      <c r="H551" s="157"/>
      <c r="I551" s="164" t="s">
        <v>53</v>
      </c>
      <c r="J551" s="157"/>
      <c r="K551" s="157"/>
      <c r="L551" s="157"/>
      <c r="M551" s="157"/>
      <c r="N551" s="157"/>
      <c r="O551" s="157"/>
      <c r="P551" s="157"/>
      <c r="Q551" s="157"/>
      <c r="R551" s="157"/>
      <c r="S551" s="833"/>
    </row>
    <row r="552" spans="1:19" ht="21" customHeight="1">
      <c r="A552" s="157"/>
      <c r="B552" s="157"/>
      <c r="C552" s="157" t="s">
        <v>204</v>
      </c>
      <c r="D552" s="164"/>
      <c r="E552" s="157"/>
      <c r="F552" s="165" t="s">
        <v>789</v>
      </c>
      <c r="G552" s="178">
        <f>Q544</f>
        <v>0.0299</v>
      </c>
      <c r="H552" s="157"/>
      <c r="I552" s="164" t="s">
        <v>53</v>
      </c>
      <c r="J552" s="165"/>
      <c r="K552" s="165" t="s">
        <v>562</v>
      </c>
      <c r="L552" s="165"/>
      <c r="M552" s="237" t="s">
        <v>562</v>
      </c>
      <c r="N552" s="157"/>
      <c r="O552" s="157" t="s">
        <v>562</v>
      </c>
      <c r="P552" s="157"/>
      <c r="Q552" s="248" t="s">
        <v>562</v>
      </c>
      <c r="R552" s="157"/>
      <c r="S552" s="833"/>
    </row>
    <row r="553" spans="1:19" ht="21" customHeight="1">
      <c r="A553" s="157"/>
      <c r="B553" s="249" t="s">
        <v>519</v>
      </c>
      <c r="C553" s="223" t="s">
        <v>205</v>
      </c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833"/>
    </row>
    <row r="554" spans="1:19" ht="21" customHeight="1">
      <c r="A554" s="157"/>
      <c r="B554" s="224" t="s">
        <v>562</v>
      </c>
      <c r="C554" s="224"/>
      <c r="D554" s="225" t="s">
        <v>463</v>
      </c>
      <c r="E554" s="225"/>
      <c r="F554" s="224"/>
      <c r="G554" s="238" t="s">
        <v>206</v>
      </c>
      <c r="H554" s="238"/>
      <c r="I554" s="238"/>
      <c r="J554" s="238"/>
      <c r="K554" s="238"/>
      <c r="L554" s="238"/>
      <c r="M554" s="238" t="s">
        <v>207</v>
      </c>
      <c r="N554" s="238"/>
      <c r="O554" s="238"/>
      <c r="P554" s="238"/>
      <c r="Q554" s="238" t="s">
        <v>561</v>
      </c>
      <c r="R554" s="238"/>
      <c r="S554" s="833"/>
    </row>
    <row r="555" spans="1:19" ht="21" customHeight="1">
      <c r="A555" s="157"/>
      <c r="B555" s="224"/>
      <c r="C555" s="239" t="s">
        <v>788</v>
      </c>
      <c r="D555" s="240">
        <v>500000</v>
      </c>
      <c r="E555" s="224"/>
      <c r="F555" s="224" t="s">
        <v>789</v>
      </c>
      <c r="G555" s="242">
        <f>G546</f>
        <v>2.6733</v>
      </c>
      <c r="H555" s="225"/>
      <c r="I555" s="225"/>
      <c r="J555" s="225"/>
      <c r="K555" s="225" t="s">
        <v>140</v>
      </c>
      <c r="L555" s="225"/>
      <c r="M555" s="242">
        <f>Q346</f>
        <v>0.777</v>
      </c>
      <c r="N555" s="224"/>
      <c r="O555" s="224" t="s">
        <v>784</v>
      </c>
      <c r="P555" s="224"/>
      <c r="Q555" s="250">
        <f aca="true" t="shared" si="11" ref="Q555:Q566">G555+M555</f>
        <v>3.4503</v>
      </c>
      <c r="R555" s="224"/>
      <c r="S555" s="833"/>
    </row>
    <row r="556" spans="1:19" ht="21" customHeight="1">
      <c r="A556" s="157"/>
      <c r="B556" s="224"/>
      <c r="C556" s="224"/>
      <c r="D556" s="240">
        <v>1000000</v>
      </c>
      <c r="E556" s="224"/>
      <c r="F556" s="224" t="s">
        <v>789</v>
      </c>
      <c r="G556" s="242">
        <f>G546</f>
        <v>2.6733</v>
      </c>
      <c r="H556" s="225"/>
      <c r="I556" s="225"/>
      <c r="J556" s="225"/>
      <c r="K556" s="225" t="s">
        <v>140</v>
      </c>
      <c r="L556" s="225"/>
      <c r="M556" s="242">
        <f>Q347</f>
        <v>0.777</v>
      </c>
      <c r="N556" s="224"/>
      <c r="O556" s="224" t="s">
        <v>784</v>
      </c>
      <c r="P556" s="224"/>
      <c r="Q556" s="250">
        <f t="shared" si="11"/>
        <v>3.4503</v>
      </c>
      <c r="R556" s="224"/>
      <c r="S556" s="833"/>
    </row>
    <row r="557" spans="1:19" ht="21" customHeight="1">
      <c r="A557" s="157"/>
      <c r="B557" s="224"/>
      <c r="C557" s="224"/>
      <c r="D557" s="240">
        <v>2000000</v>
      </c>
      <c r="E557" s="224"/>
      <c r="F557" s="224" t="s">
        <v>789</v>
      </c>
      <c r="G557" s="242">
        <f>G546</f>
        <v>2.6733</v>
      </c>
      <c r="H557" s="225"/>
      <c r="I557" s="225"/>
      <c r="J557" s="225"/>
      <c r="K557" s="225" t="s">
        <v>140</v>
      </c>
      <c r="L557" s="225"/>
      <c r="M557" s="242">
        <f>Q348</f>
        <v>0.518</v>
      </c>
      <c r="N557" s="224"/>
      <c r="O557" s="224" t="s">
        <v>784</v>
      </c>
      <c r="P557" s="224"/>
      <c r="Q557" s="250">
        <f t="shared" si="11"/>
        <v>3.1913</v>
      </c>
      <c r="R557" s="224"/>
      <c r="S557" s="833"/>
    </row>
    <row r="558" spans="1:19" ht="21" customHeight="1">
      <c r="A558" s="157"/>
      <c r="B558" s="224"/>
      <c r="C558" s="224"/>
      <c r="D558" s="240">
        <v>5000000</v>
      </c>
      <c r="E558" s="224"/>
      <c r="F558" s="224" t="s">
        <v>789</v>
      </c>
      <c r="G558" s="242">
        <f>G546</f>
        <v>2.6733</v>
      </c>
      <c r="H558" s="225"/>
      <c r="I558" s="225"/>
      <c r="J558" s="225"/>
      <c r="K558" s="225" t="s">
        <v>140</v>
      </c>
      <c r="L558" s="225"/>
      <c r="M558" s="242">
        <f>Q349</f>
        <v>0.3885</v>
      </c>
      <c r="N558" s="224"/>
      <c r="O558" s="224" t="s">
        <v>784</v>
      </c>
      <c r="P558" s="224"/>
      <c r="Q558" s="250">
        <f t="shared" si="11"/>
        <v>3.0618</v>
      </c>
      <c r="R558" s="224"/>
      <c r="S558" s="833"/>
    </row>
    <row r="559" spans="1:19" ht="21" customHeight="1">
      <c r="A559" s="157"/>
      <c r="B559" s="224"/>
      <c r="C559" s="224"/>
      <c r="D559" s="240">
        <v>10000000</v>
      </c>
      <c r="E559" s="224"/>
      <c r="F559" s="224" t="s">
        <v>789</v>
      </c>
      <c r="G559" s="242">
        <f>G546</f>
        <v>2.6733</v>
      </c>
      <c r="H559" s="225"/>
      <c r="I559" s="225"/>
      <c r="J559" s="225"/>
      <c r="K559" s="225" t="s">
        <v>140</v>
      </c>
      <c r="L559" s="225"/>
      <c r="M559" s="242">
        <f>Q350</f>
        <v>0.3108</v>
      </c>
      <c r="N559" s="224"/>
      <c r="O559" s="224" t="s">
        <v>784</v>
      </c>
      <c r="P559" s="224"/>
      <c r="Q559" s="250">
        <f t="shared" si="11"/>
        <v>2.9840999999999998</v>
      </c>
      <c r="R559" s="224"/>
      <c r="S559" s="833"/>
    </row>
    <row r="560" spans="1:19" ht="21" customHeight="1">
      <c r="A560" s="157"/>
      <c r="B560" s="224"/>
      <c r="C560" s="224"/>
      <c r="D560" s="240">
        <v>15000000</v>
      </c>
      <c r="E560" s="224"/>
      <c r="F560" s="224" t="s">
        <v>789</v>
      </c>
      <c r="G560" s="242">
        <f>G547</f>
        <v>0.2594</v>
      </c>
      <c r="H560" s="225"/>
      <c r="I560" s="225"/>
      <c r="J560" s="225"/>
      <c r="K560" s="225" t="s">
        <v>140</v>
      </c>
      <c r="L560" s="225"/>
      <c r="M560" s="242">
        <f aca="true" t="shared" si="12" ref="M560:M566">Q354</f>
        <v>0.3108</v>
      </c>
      <c r="N560" s="224"/>
      <c r="O560" s="224" t="s">
        <v>784</v>
      </c>
      <c r="P560" s="224"/>
      <c r="Q560" s="250">
        <f t="shared" si="11"/>
        <v>0.5702</v>
      </c>
      <c r="R560" s="224"/>
      <c r="S560" s="833"/>
    </row>
    <row r="561" spans="1:19" ht="21" customHeight="1">
      <c r="A561" s="157"/>
      <c r="B561" s="224"/>
      <c r="C561" s="224"/>
      <c r="D561" s="240">
        <v>20000000</v>
      </c>
      <c r="E561" s="224"/>
      <c r="F561" s="224" t="s">
        <v>789</v>
      </c>
      <c r="G561" s="242">
        <f>G547</f>
        <v>0.2594</v>
      </c>
      <c r="H561" s="225"/>
      <c r="I561" s="225"/>
      <c r="J561" s="225"/>
      <c r="K561" s="225" t="s">
        <v>140</v>
      </c>
      <c r="L561" s="225"/>
      <c r="M561" s="242">
        <f t="shared" si="12"/>
        <v>0.2914</v>
      </c>
      <c r="N561" s="224"/>
      <c r="O561" s="224" t="s">
        <v>784</v>
      </c>
      <c r="P561" s="224"/>
      <c r="Q561" s="250">
        <f t="shared" si="11"/>
        <v>0.5508</v>
      </c>
      <c r="R561" s="224"/>
      <c r="S561" s="833"/>
    </row>
    <row r="562" spans="1:19" ht="21" customHeight="1">
      <c r="A562" s="157"/>
      <c r="B562" s="224"/>
      <c r="C562" s="224"/>
      <c r="D562" s="240">
        <v>25000000</v>
      </c>
      <c r="E562" s="224"/>
      <c r="F562" s="224" t="s">
        <v>789</v>
      </c>
      <c r="G562" s="242">
        <f>G547</f>
        <v>0.2594</v>
      </c>
      <c r="H562" s="225"/>
      <c r="I562" s="225"/>
      <c r="J562" s="225"/>
      <c r="K562" s="225" t="s">
        <v>140</v>
      </c>
      <c r="L562" s="225"/>
      <c r="M562" s="242">
        <f t="shared" si="12"/>
        <v>0.2914</v>
      </c>
      <c r="N562" s="224"/>
      <c r="O562" s="224" t="s">
        <v>784</v>
      </c>
      <c r="P562" s="224"/>
      <c r="Q562" s="250">
        <f t="shared" si="11"/>
        <v>0.5508</v>
      </c>
      <c r="R562" s="224"/>
      <c r="S562" s="833"/>
    </row>
    <row r="563" spans="1:19" ht="21" customHeight="1">
      <c r="A563" s="157"/>
      <c r="B563" s="224"/>
      <c r="C563" s="224"/>
      <c r="D563" s="240">
        <v>30000000</v>
      </c>
      <c r="E563" s="224"/>
      <c r="F563" s="224" t="s">
        <v>789</v>
      </c>
      <c r="G563" s="242">
        <f>G548</f>
        <v>0.2956</v>
      </c>
      <c r="H563" s="225"/>
      <c r="I563" s="225"/>
      <c r="J563" s="225"/>
      <c r="K563" s="225" t="s">
        <v>140</v>
      </c>
      <c r="L563" s="225"/>
      <c r="M563" s="242">
        <f t="shared" si="12"/>
        <v>0.2742</v>
      </c>
      <c r="N563" s="224"/>
      <c r="O563" s="224" t="s">
        <v>784</v>
      </c>
      <c r="P563" s="224"/>
      <c r="Q563" s="250">
        <f t="shared" si="11"/>
        <v>0.5698</v>
      </c>
      <c r="R563" s="224"/>
      <c r="S563" s="833"/>
    </row>
    <row r="564" spans="1:19" ht="21" customHeight="1">
      <c r="A564" s="157"/>
      <c r="B564" s="239" t="s">
        <v>562</v>
      </c>
      <c r="C564" s="224"/>
      <c r="D564" s="240">
        <v>40000000</v>
      </c>
      <c r="E564" s="224"/>
      <c r="F564" s="224" t="s">
        <v>789</v>
      </c>
      <c r="G564" s="242">
        <f>G548</f>
        <v>0.2956</v>
      </c>
      <c r="H564" s="225"/>
      <c r="I564" s="225"/>
      <c r="J564" s="225"/>
      <c r="K564" s="225" t="s">
        <v>140</v>
      </c>
      <c r="L564" s="225"/>
      <c r="M564" s="242">
        <f t="shared" si="12"/>
        <v>0.2742</v>
      </c>
      <c r="N564" s="224"/>
      <c r="O564" s="224" t="s">
        <v>784</v>
      </c>
      <c r="P564" s="224"/>
      <c r="Q564" s="250">
        <f t="shared" si="11"/>
        <v>0.5698</v>
      </c>
      <c r="R564" s="224"/>
      <c r="S564" s="833"/>
    </row>
    <row r="565" spans="1:19" ht="21" customHeight="1">
      <c r="A565" s="157"/>
      <c r="B565" s="224"/>
      <c r="C565" s="224"/>
      <c r="D565" s="240">
        <v>50000000</v>
      </c>
      <c r="E565" s="224"/>
      <c r="F565" s="224" t="s">
        <v>789</v>
      </c>
      <c r="G565" s="242">
        <f>G548</f>
        <v>0.2956</v>
      </c>
      <c r="H565" s="225"/>
      <c r="I565" s="225"/>
      <c r="J565" s="225"/>
      <c r="K565" s="225" t="s">
        <v>140</v>
      </c>
      <c r="L565" s="225"/>
      <c r="M565" s="242">
        <f t="shared" si="12"/>
        <v>0.259</v>
      </c>
      <c r="N565" s="224"/>
      <c r="O565" s="224" t="s">
        <v>784</v>
      </c>
      <c r="P565" s="224"/>
      <c r="Q565" s="250">
        <f t="shared" si="11"/>
        <v>0.5546</v>
      </c>
      <c r="R565" s="224"/>
      <c r="S565" s="833"/>
    </row>
    <row r="566" spans="1:19" ht="21" customHeight="1">
      <c r="A566" s="157"/>
      <c r="B566" s="224" t="s">
        <v>562</v>
      </c>
      <c r="C566" s="224"/>
      <c r="D566" s="240">
        <v>60000000</v>
      </c>
      <c r="E566" s="224"/>
      <c r="F566" s="224" t="s">
        <v>789</v>
      </c>
      <c r="G566" s="242">
        <f>G549</f>
        <v>0.147</v>
      </c>
      <c r="H566" s="225"/>
      <c r="I566" s="225"/>
      <c r="J566" s="225"/>
      <c r="K566" s="225" t="s">
        <v>140</v>
      </c>
      <c r="L566" s="225"/>
      <c r="M566" s="242">
        <f t="shared" si="12"/>
        <v>0.259</v>
      </c>
      <c r="N566" s="224"/>
      <c r="O566" s="224" t="s">
        <v>784</v>
      </c>
      <c r="P566" s="224"/>
      <c r="Q566" s="250">
        <f t="shared" si="11"/>
        <v>0.406</v>
      </c>
      <c r="R566" s="224"/>
      <c r="S566" s="833"/>
    </row>
    <row r="567" spans="1:19" ht="21" customHeight="1">
      <c r="A567" s="835" t="s">
        <v>208</v>
      </c>
      <c r="B567" s="835"/>
      <c r="C567" s="835"/>
      <c r="D567" s="835"/>
      <c r="E567" s="835"/>
      <c r="F567" s="835"/>
      <c r="G567" s="835"/>
      <c r="H567" s="835"/>
      <c r="I567" s="835"/>
      <c r="J567" s="835"/>
      <c r="K567" s="835"/>
      <c r="L567" s="835"/>
      <c r="M567" s="835"/>
      <c r="N567" s="835"/>
      <c r="O567" s="835"/>
      <c r="P567" s="835"/>
      <c r="Q567" s="835"/>
      <c r="R567" s="835"/>
      <c r="S567" s="833"/>
    </row>
    <row r="568" spans="1:19" ht="21" customHeight="1">
      <c r="A568" s="157"/>
      <c r="B568" s="224" t="s">
        <v>562</v>
      </c>
      <c r="C568" s="224" t="s">
        <v>562</v>
      </c>
      <c r="D568" s="224" t="s">
        <v>562</v>
      </c>
      <c r="E568" s="224" t="s">
        <v>562</v>
      </c>
      <c r="F568" s="224" t="s">
        <v>562</v>
      </c>
      <c r="G568" s="224" t="s">
        <v>562</v>
      </c>
      <c r="H568" s="224" t="s">
        <v>562</v>
      </c>
      <c r="I568" s="224" t="s">
        <v>562</v>
      </c>
      <c r="J568" s="224" t="s">
        <v>562</v>
      </c>
      <c r="K568" s="224" t="s">
        <v>562</v>
      </c>
      <c r="L568" s="224" t="s">
        <v>562</v>
      </c>
      <c r="M568" s="224" t="s">
        <v>562</v>
      </c>
      <c r="N568" s="224" t="s">
        <v>562</v>
      </c>
      <c r="O568" s="224" t="s">
        <v>562</v>
      </c>
      <c r="P568" s="224" t="s">
        <v>562</v>
      </c>
      <c r="Q568" s="224" t="s">
        <v>562</v>
      </c>
      <c r="R568" s="224" t="s">
        <v>562</v>
      </c>
      <c r="S568" s="832" t="s">
        <v>209</v>
      </c>
    </row>
    <row r="569" spans="1:19" ht="21" customHeight="1">
      <c r="A569" s="157"/>
      <c r="B569" s="224" t="s">
        <v>562</v>
      </c>
      <c r="C569" s="224"/>
      <c r="D569" s="225" t="s">
        <v>463</v>
      </c>
      <c r="E569" s="225"/>
      <c r="F569" s="224"/>
      <c r="G569" s="238" t="s">
        <v>206</v>
      </c>
      <c r="H569" s="238"/>
      <c r="I569" s="238"/>
      <c r="J569" s="238"/>
      <c r="K569" s="238"/>
      <c r="L569" s="238"/>
      <c r="M569" s="238" t="s">
        <v>207</v>
      </c>
      <c r="N569" s="238"/>
      <c r="O569" s="238"/>
      <c r="P569" s="238"/>
      <c r="Q569" s="238" t="s">
        <v>561</v>
      </c>
      <c r="R569" s="238"/>
      <c r="S569" s="833"/>
    </row>
    <row r="570" spans="1:19" ht="21" customHeight="1">
      <c r="A570" s="157"/>
      <c r="B570" s="224"/>
      <c r="C570" s="239" t="s">
        <v>788</v>
      </c>
      <c r="D570" s="240">
        <v>70000000</v>
      </c>
      <c r="E570" s="224"/>
      <c r="F570" s="224" t="s">
        <v>789</v>
      </c>
      <c r="G570" s="242">
        <f>G549</f>
        <v>0.147</v>
      </c>
      <c r="H570" s="225"/>
      <c r="I570" s="225"/>
      <c r="J570" s="225"/>
      <c r="K570" s="225" t="s">
        <v>140</v>
      </c>
      <c r="L570" s="225"/>
      <c r="M570" s="242">
        <f aca="true" t="shared" si="13" ref="M570:M581">Q361</f>
        <v>0.2331</v>
      </c>
      <c r="N570" s="224"/>
      <c r="O570" s="224" t="s">
        <v>784</v>
      </c>
      <c r="P570" s="224"/>
      <c r="Q570" s="250">
        <f aca="true" t="shared" si="14" ref="Q570:Q581">G570+M570</f>
        <v>0.3801</v>
      </c>
      <c r="R570" s="224"/>
      <c r="S570" s="833"/>
    </row>
    <row r="571" spans="1:19" ht="21" customHeight="1">
      <c r="A571" s="157"/>
      <c r="B571" s="224"/>
      <c r="C571" s="224"/>
      <c r="D571" s="240">
        <v>80000000</v>
      </c>
      <c r="E571" s="224"/>
      <c r="F571" s="224" t="s">
        <v>789</v>
      </c>
      <c r="G571" s="242">
        <f>G549</f>
        <v>0.147</v>
      </c>
      <c r="H571" s="225"/>
      <c r="I571" s="225"/>
      <c r="J571" s="225"/>
      <c r="K571" s="225" t="s">
        <v>140</v>
      </c>
      <c r="L571" s="225"/>
      <c r="M571" s="242">
        <f t="shared" si="13"/>
        <v>0.2331</v>
      </c>
      <c r="N571" s="224"/>
      <c r="O571" s="224" t="s">
        <v>784</v>
      </c>
      <c r="P571" s="224"/>
      <c r="Q571" s="250">
        <f t="shared" si="14"/>
        <v>0.3801</v>
      </c>
      <c r="R571" s="224"/>
      <c r="S571" s="833"/>
    </row>
    <row r="572" spans="1:19" ht="21" customHeight="1">
      <c r="A572" s="157"/>
      <c r="B572" s="224"/>
      <c r="C572" s="224"/>
      <c r="D572" s="240">
        <v>90000000</v>
      </c>
      <c r="E572" s="224"/>
      <c r="F572" s="224" t="s">
        <v>789</v>
      </c>
      <c r="G572" s="242">
        <f>G549</f>
        <v>0.147</v>
      </c>
      <c r="H572" s="225"/>
      <c r="I572" s="225"/>
      <c r="J572" s="225"/>
      <c r="K572" s="225" t="s">
        <v>140</v>
      </c>
      <c r="L572" s="225"/>
      <c r="M572" s="242">
        <f t="shared" si="13"/>
        <v>0.2331</v>
      </c>
      <c r="N572" s="224"/>
      <c r="O572" s="224" t="s">
        <v>784</v>
      </c>
      <c r="P572" s="224"/>
      <c r="Q572" s="250">
        <f t="shared" si="14"/>
        <v>0.3801</v>
      </c>
      <c r="R572" s="224"/>
      <c r="S572" s="833"/>
    </row>
    <row r="573" spans="1:19" ht="21" customHeight="1">
      <c r="A573" s="157"/>
      <c r="B573" s="224"/>
      <c r="C573" s="224"/>
      <c r="D573" s="240">
        <v>100000000</v>
      </c>
      <c r="E573" s="224"/>
      <c r="F573" s="224" t="s">
        <v>789</v>
      </c>
      <c r="G573" s="242">
        <f>G549</f>
        <v>0.147</v>
      </c>
      <c r="H573" s="225"/>
      <c r="I573" s="225"/>
      <c r="J573" s="225"/>
      <c r="K573" s="225" t="s">
        <v>140</v>
      </c>
      <c r="L573" s="225"/>
      <c r="M573" s="242">
        <f t="shared" si="13"/>
        <v>0.2331</v>
      </c>
      <c r="N573" s="224"/>
      <c r="O573" s="224" t="s">
        <v>784</v>
      </c>
      <c r="P573" s="224"/>
      <c r="Q573" s="250">
        <f t="shared" si="14"/>
        <v>0.3801</v>
      </c>
      <c r="R573" s="224"/>
      <c r="S573" s="833"/>
    </row>
    <row r="574" spans="1:19" ht="21" customHeight="1">
      <c r="A574" s="157"/>
      <c r="B574" s="224"/>
      <c r="C574" s="224"/>
      <c r="D574" s="240">
        <v>150000000</v>
      </c>
      <c r="E574" s="224"/>
      <c r="F574" s="224" t="s">
        <v>789</v>
      </c>
      <c r="G574" s="242">
        <f>G550</f>
        <v>0.0702</v>
      </c>
      <c r="H574" s="225"/>
      <c r="I574" s="225"/>
      <c r="J574" s="225"/>
      <c r="K574" s="225" t="s">
        <v>140</v>
      </c>
      <c r="L574" s="225"/>
      <c r="M574" s="242">
        <f t="shared" si="13"/>
        <v>0.2119</v>
      </c>
      <c r="N574" s="224"/>
      <c r="O574" s="224" t="s">
        <v>784</v>
      </c>
      <c r="P574" s="224"/>
      <c r="Q574" s="250">
        <f t="shared" si="14"/>
        <v>0.2821</v>
      </c>
      <c r="R574" s="224"/>
      <c r="S574" s="833"/>
    </row>
    <row r="575" spans="1:19" ht="21" customHeight="1">
      <c r="A575" s="157"/>
      <c r="B575" s="224"/>
      <c r="C575" s="224"/>
      <c r="D575" s="240">
        <v>200000000</v>
      </c>
      <c r="E575" s="224"/>
      <c r="F575" s="224" t="s">
        <v>789</v>
      </c>
      <c r="G575" s="242">
        <f>G550</f>
        <v>0.0702</v>
      </c>
      <c r="H575" s="225"/>
      <c r="I575" s="225"/>
      <c r="J575" s="225"/>
      <c r="K575" s="225" t="s">
        <v>140</v>
      </c>
      <c r="L575" s="225"/>
      <c r="M575" s="242">
        <f t="shared" si="13"/>
        <v>0.1943</v>
      </c>
      <c r="N575" s="224"/>
      <c r="O575" s="224" t="s">
        <v>784</v>
      </c>
      <c r="P575" s="224"/>
      <c r="Q575" s="250">
        <f t="shared" si="14"/>
        <v>0.2645</v>
      </c>
      <c r="R575" s="224"/>
      <c r="S575" s="833"/>
    </row>
    <row r="576" spans="1:19" ht="21" customHeight="1">
      <c r="A576" s="157"/>
      <c r="B576" s="224"/>
      <c r="C576" s="224"/>
      <c r="D576" s="240">
        <v>250000000</v>
      </c>
      <c r="E576" s="224"/>
      <c r="F576" s="224" t="s">
        <v>789</v>
      </c>
      <c r="G576" s="242">
        <f>G550</f>
        <v>0.0702</v>
      </c>
      <c r="H576" s="225"/>
      <c r="I576" s="225"/>
      <c r="J576" s="225"/>
      <c r="K576" s="225" t="s">
        <v>140</v>
      </c>
      <c r="L576" s="225"/>
      <c r="M576" s="242">
        <f t="shared" si="13"/>
        <v>0.1665</v>
      </c>
      <c r="N576" s="224"/>
      <c r="O576" s="224" t="s">
        <v>784</v>
      </c>
      <c r="P576" s="224"/>
      <c r="Q576" s="250">
        <f t="shared" si="14"/>
        <v>0.23670000000000002</v>
      </c>
      <c r="R576" s="224"/>
      <c r="S576" s="833"/>
    </row>
    <row r="577" spans="1:19" ht="21" customHeight="1">
      <c r="A577" s="157"/>
      <c r="B577" s="224"/>
      <c r="C577" s="224"/>
      <c r="D577" s="240">
        <v>300000000</v>
      </c>
      <c r="E577" s="224"/>
      <c r="F577" s="224" t="s">
        <v>789</v>
      </c>
      <c r="G577" s="242">
        <f>G550</f>
        <v>0.0702</v>
      </c>
      <c r="H577" s="225"/>
      <c r="I577" s="225"/>
      <c r="J577" s="225"/>
      <c r="K577" s="225" t="s">
        <v>140</v>
      </c>
      <c r="L577" s="225"/>
      <c r="M577" s="242">
        <f t="shared" si="13"/>
        <v>0.1554</v>
      </c>
      <c r="N577" s="224"/>
      <c r="O577" s="224" t="s">
        <v>784</v>
      </c>
      <c r="P577" s="224"/>
      <c r="Q577" s="250">
        <f t="shared" si="14"/>
        <v>0.22560000000000002</v>
      </c>
      <c r="R577" s="224"/>
      <c r="S577" s="833"/>
    </row>
    <row r="578" spans="1:19" ht="21" customHeight="1">
      <c r="A578" s="157"/>
      <c r="B578" s="224"/>
      <c r="C578" s="224"/>
      <c r="D578" s="240">
        <v>350000000</v>
      </c>
      <c r="E578" s="224"/>
      <c r="F578" s="224" t="s">
        <v>789</v>
      </c>
      <c r="G578" s="242">
        <f>G551</f>
        <v>0.0419</v>
      </c>
      <c r="H578" s="225"/>
      <c r="I578" s="225"/>
      <c r="J578" s="225"/>
      <c r="K578" s="225" t="s">
        <v>140</v>
      </c>
      <c r="L578" s="225"/>
      <c r="M578" s="242">
        <f t="shared" si="13"/>
        <v>0.1457</v>
      </c>
      <c r="N578" s="224"/>
      <c r="O578" s="224" t="s">
        <v>784</v>
      </c>
      <c r="P578" s="224"/>
      <c r="Q578" s="250">
        <f t="shared" si="14"/>
        <v>0.1876</v>
      </c>
      <c r="R578" s="224"/>
      <c r="S578" s="833"/>
    </row>
    <row r="579" spans="1:19" ht="21" customHeight="1">
      <c r="A579" s="157"/>
      <c r="B579" s="224"/>
      <c r="C579" s="224"/>
      <c r="D579" s="240">
        <v>400000000</v>
      </c>
      <c r="E579" s="224"/>
      <c r="F579" s="224" t="s">
        <v>789</v>
      </c>
      <c r="G579" s="242">
        <f>G551</f>
        <v>0.0419</v>
      </c>
      <c r="H579" s="225"/>
      <c r="I579" s="225"/>
      <c r="J579" s="225"/>
      <c r="K579" s="225" t="s">
        <v>140</v>
      </c>
      <c r="L579" s="225"/>
      <c r="M579" s="242">
        <f t="shared" si="13"/>
        <v>0.1295</v>
      </c>
      <c r="N579" s="224"/>
      <c r="O579" s="224" t="s">
        <v>784</v>
      </c>
      <c r="P579" s="224"/>
      <c r="Q579" s="250">
        <f t="shared" si="14"/>
        <v>0.1714</v>
      </c>
      <c r="R579" s="224"/>
      <c r="S579" s="833"/>
    </row>
    <row r="580" spans="1:19" ht="21" customHeight="1">
      <c r="A580" s="157"/>
      <c r="B580" s="224"/>
      <c r="C580" s="224"/>
      <c r="D580" s="240">
        <v>500000000</v>
      </c>
      <c r="E580" s="224"/>
      <c r="F580" s="224" t="s">
        <v>789</v>
      </c>
      <c r="G580" s="242">
        <f>G551</f>
        <v>0.0419</v>
      </c>
      <c r="H580" s="225"/>
      <c r="I580" s="225"/>
      <c r="J580" s="225"/>
      <c r="K580" s="225" t="s">
        <v>140</v>
      </c>
      <c r="L580" s="225"/>
      <c r="M580" s="242">
        <f t="shared" si="13"/>
        <v>0.1295</v>
      </c>
      <c r="N580" s="224"/>
      <c r="O580" s="224" t="s">
        <v>784</v>
      </c>
      <c r="P580" s="224"/>
      <c r="Q580" s="250">
        <f t="shared" si="14"/>
        <v>0.1714</v>
      </c>
      <c r="R580" s="224"/>
      <c r="S580" s="833"/>
    </row>
    <row r="581" spans="1:19" ht="21" customHeight="1">
      <c r="A581" s="157"/>
      <c r="B581" s="224"/>
      <c r="C581" s="224"/>
      <c r="D581" s="240">
        <v>1000000000</v>
      </c>
      <c r="E581" s="224"/>
      <c r="F581" s="224" t="s">
        <v>789</v>
      </c>
      <c r="G581" s="242">
        <f>G552</f>
        <v>0.0299</v>
      </c>
      <c r="H581" s="225"/>
      <c r="I581" s="225"/>
      <c r="J581" s="225"/>
      <c r="K581" s="225" t="s">
        <v>140</v>
      </c>
      <c r="L581" s="225"/>
      <c r="M581" s="242">
        <f t="shared" si="13"/>
        <v>0.1166</v>
      </c>
      <c r="N581" s="224"/>
      <c r="O581" s="224" t="s">
        <v>784</v>
      </c>
      <c r="P581" s="224"/>
      <c r="Q581" s="250">
        <f t="shared" si="14"/>
        <v>0.1465</v>
      </c>
      <c r="R581" s="224"/>
      <c r="S581" s="833"/>
    </row>
    <row r="582" spans="1:19" ht="21" customHeight="1">
      <c r="A582" s="157"/>
      <c r="B582" s="157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833"/>
    </row>
    <row r="583" spans="1:19" ht="21" customHeight="1">
      <c r="A583" s="251"/>
      <c r="B583" s="252" t="s">
        <v>210</v>
      </c>
      <c r="C583" s="252" t="s">
        <v>211</v>
      </c>
      <c r="D583" s="251"/>
      <c r="E583" s="251"/>
      <c r="F583" s="251"/>
      <c r="G583" s="251"/>
      <c r="H583" s="251"/>
      <c r="I583" s="251"/>
      <c r="J583" s="251"/>
      <c r="K583" s="251"/>
      <c r="L583" s="251"/>
      <c r="M583" s="251"/>
      <c r="N583" s="251"/>
      <c r="O583" s="251"/>
      <c r="P583" s="251"/>
      <c r="Q583" s="251"/>
      <c r="R583" s="251"/>
      <c r="S583" s="833"/>
    </row>
    <row r="584" spans="1:19" ht="21" customHeight="1">
      <c r="A584" s="251"/>
      <c r="B584" s="251" t="s">
        <v>212</v>
      </c>
      <c r="C584" s="253" t="s">
        <v>119</v>
      </c>
      <c r="D584" s="251"/>
      <c r="E584" s="251"/>
      <c r="F584" s="251"/>
      <c r="G584" s="251"/>
      <c r="H584" s="251"/>
      <c r="I584" s="251"/>
      <c r="J584" s="251"/>
      <c r="K584" s="251"/>
      <c r="L584" s="251"/>
      <c r="M584" s="251"/>
      <c r="N584" s="251"/>
      <c r="O584" s="251"/>
      <c r="P584" s="251"/>
      <c r="Q584" s="251"/>
      <c r="R584" s="251"/>
      <c r="S584" s="833"/>
    </row>
    <row r="585" spans="1:19" ht="21" customHeight="1">
      <c r="A585" s="251"/>
      <c r="B585" s="251"/>
      <c r="C585" s="251" t="s">
        <v>213</v>
      </c>
      <c r="D585" s="251"/>
      <c r="E585" s="251"/>
      <c r="F585" s="251"/>
      <c r="G585" s="251"/>
      <c r="H585" s="251"/>
      <c r="I585" s="251"/>
      <c r="J585" s="251"/>
      <c r="K585" s="251"/>
      <c r="L585" s="251"/>
      <c r="M585" s="251"/>
      <c r="N585" s="251"/>
      <c r="O585" s="251"/>
      <c r="P585" s="251"/>
      <c r="Q585" s="251"/>
      <c r="R585" s="251"/>
      <c r="S585" s="833"/>
    </row>
    <row r="586" spans="1:19" ht="21" customHeight="1">
      <c r="A586" s="157"/>
      <c r="B586" s="157"/>
      <c r="C586" s="157" t="s">
        <v>214</v>
      </c>
      <c r="D586" s="157"/>
      <c r="E586" s="247">
        <f>120/1000</f>
        <v>0.12</v>
      </c>
      <c r="F586" s="157"/>
      <c r="G586" s="157" t="s">
        <v>215</v>
      </c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833"/>
    </row>
    <row r="587" spans="1:19" ht="21" customHeight="1">
      <c r="A587" s="157"/>
      <c r="B587" s="157"/>
      <c r="C587" s="157" t="s">
        <v>216</v>
      </c>
      <c r="D587" s="157"/>
      <c r="E587" s="254">
        <f>0.3/180</f>
        <v>0.0016666666666666666</v>
      </c>
      <c r="F587" s="157"/>
      <c r="G587" s="157" t="s">
        <v>126</v>
      </c>
      <c r="H587" s="157"/>
      <c r="I587" s="157" t="s">
        <v>217</v>
      </c>
      <c r="J587" s="157"/>
      <c r="K587" s="157"/>
      <c r="L587" s="157"/>
      <c r="M587" s="157"/>
      <c r="N587" s="157"/>
      <c r="O587" s="157"/>
      <c r="P587" s="157"/>
      <c r="Q587" s="157"/>
      <c r="R587" s="157"/>
      <c r="S587" s="833"/>
    </row>
    <row r="588" spans="1:19" ht="21" customHeight="1">
      <c r="A588" s="157"/>
      <c r="B588" s="157"/>
      <c r="C588" s="157" t="s">
        <v>218</v>
      </c>
      <c r="D588" s="157"/>
      <c r="E588" s="255">
        <v>14.4</v>
      </c>
      <c r="F588" s="157"/>
      <c r="G588" s="171" t="s">
        <v>219</v>
      </c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833"/>
    </row>
    <row r="589" spans="1:19" ht="21" customHeight="1">
      <c r="A589" s="157"/>
      <c r="B589" s="157"/>
      <c r="C589" s="157" t="s">
        <v>220</v>
      </c>
      <c r="D589" s="157"/>
      <c r="E589" s="157"/>
      <c r="F589" s="157" t="s">
        <v>789</v>
      </c>
      <c r="G589" s="171">
        <f>E587</f>
        <v>0.0016666666666666666</v>
      </c>
      <c r="H589" s="157"/>
      <c r="I589" s="165" t="s">
        <v>787</v>
      </c>
      <c r="J589" s="157">
        <f>E586</f>
        <v>0.12</v>
      </c>
      <c r="K589" s="157"/>
      <c r="L589" s="157" t="s">
        <v>784</v>
      </c>
      <c r="M589" s="256">
        <f>G589*J589</f>
        <v>0.00019999999999999998</v>
      </c>
      <c r="N589" s="157" t="s">
        <v>221</v>
      </c>
      <c r="O589" s="157"/>
      <c r="P589" s="157"/>
      <c r="Q589" s="157"/>
      <c r="R589" s="157"/>
      <c r="S589" s="833"/>
    </row>
    <row r="590" spans="1:19" ht="21" customHeight="1">
      <c r="A590" s="157"/>
      <c r="B590" s="157"/>
      <c r="C590" s="157" t="s">
        <v>222</v>
      </c>
      <c r="D590" s="157"/>
      <c r="E590" s="157"/>
      <c r="F590" s="157" t="s">
        <v>789</v>
      </c>
      <c r="G590" s="171">
        <f>M589</f>
        <v>0.00019999999999999998</v>
      </c>
      <c r="H590" s="157"/>
      <c r="I590" s="165" t="s">
        <v>787</v>
      </c>
      <c r="J590" s="157">
        <f>E588</f>
        <v>14.4</v>
      </c>
      <c r="K590" s="157"/>
      <c r="L590" s="165" t="s">
        <v>787</v>
      </c>
      <c r="M590" s="157">
        <v>100</v>
      </c>
      <c r="N590" s="157"/>
      <c r="O590" s="157" t="s">
        <v>784</v>
      </c>
      <c r="P590" s="157"/>
      <c r="Q590" s="173">
        <f>ROUND(G590*J590*M590,4)</f>
        <v>0.288</v>
      </c>
      <c r="R590" s="165" t="s">
        <v>562</v>
      </c>
      <c r="S590" s="833"/>
    </row>
    <row r="591" spans="1:19" ht="21" customHeight="1">
      <c r="A591" s="157"/>
      <c r="B591" s="157"/>
      <c r="C591" s="157" t="s">
        <v>223</v>
      </c>
      <c r="D591" s="157"/>
      <c r="E591" s="157">
        <v>2</v>
      </c>
      <c r="F591" s="157"/>
      <c r="G591" s="157" t="s">
        <v>224</v>
      </c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833"/>
    </row>
    <row r="592" spans="1:19" ht="21" customHeight="1">
      <c r="A592" s="157"/>
      <c r="B592" s="157"/>
      <c r="C592" s="157" t="s">
        <v>225</v>
      </c>
      <c r="D592" s="157"/>
      <c r="E592" s="171">
        <f>E587</f>
        <v>0.0016666666666666666</v>
      </c>
      <c r="F592" s="157"/>
      <c r="G592" s="157" t="s">
        <v>126</v>
      </c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833"/>
    </row>
    <row r="593" spans="1:19" ht="21" customHeight="1">
      <c r="A593" s="157"/>
      <c r="B593" s="157"/>
      <c r="C593" s="157" t="s">
        <v>226</v>
      </c>
      <c r="D593" s="157"/>
      <c r="E593" s="215">
        <v>2.7</v>
      </c>
      <c r="F593" s="157"/>
      <c r="G593" s="171" t="s">
        <v>227</v>
      </c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833"/>
    </row>
    <row r="594" spans="1:19" ht="21" customHeight="1">
      <c r="A594" s="835" t="s">
        <v>228</v>
      </c>
      <c r="B594" s="835"/>
      <c r="C594" s="835"/>
      <c r="D594" s="835"/>
      <c r="E594" s="835"/>
      <c r="F594" s="835"/>
      <c r="G594" s="835"/>
      <c r="H594" s="835"/>
      <c r="I594" s="835"/>
      <c r="J594" s="835"/>
      <c r="K594" s="835"/>
      <c r="L594" s="835"/>
      <c r="M594" s="835"/>
      <c r="N594" s="835"/>
      <c r="O594" s="835"/>
      <c r="P594" s="835"/>
      <c r="Q594" s="835"/>
      <c r="R594" s="835"/>
      <c r="S594" s="833"/>
    </row>
    <row r="595" spans="1:19" ht="21" customHeight="1">
      <c r="A595" s="157"/>
      <c r="B595" s="157"/>
      <c r="C595" s="157" t="s">
        <v>229</v>
      </c>
      <c r="D595" s="157"/>
      <c r="E595" s="157"/>
      <c r="F595" s="157" t="s">
        <v>789</v>
      </c>
      <c r="G595" s="171">
        <f>E587</f>
        <v>0.0016666666666666666</v>
      </c>
      <c r="H595" s="157"/>
      <c r="I595" s="165" t="s">
        <v>787</v>
      </c>
      <c r="J595" s="157">
        <f>E591</f>
        <v>2</v>
      </c>
      <c r="K595" s="157"/>
      <c r="L595" s="157" t="s">
        <v>784</v>
      </c>
      <c r="M595" s="171">
        <f>G595*J595</f>
        <v>0.003333333333333333</v>
      </c>
      <c r="N595" s="157" t="s">
        <v>230</v>
      </c>
      <c r="O595" s="157"/>
      <c r="P595" s="157"/>
      <c r="Q595" s="157"/>
      <c r="R595" s="157"/>
      <c r="S595" s="832" t="s">
        <v>231</v>
      </c>
    </row>
    <row r="596" spans="1:19" ht="21" customHeight="1">
      <c r="A596" s="157"/>
      <c r="B596" s="157"/>
      <c r="C596" s="157" t="s">
        <v>222</v>
      </c>
      <c r="D596" s="157"/>
      <c r="E596" s="157"/>
      <c r="F596" s="157" t="s">
        <v>789</v>
      </c>
      <c r="G596" s="157">
        <f>M595</f>
        <v>0.003333333333333333</v>
      </c>
      <c r="H596" s="157"/>
      <c r="I596" s="165" t="s">
        <v>787</v>
      </c>
      <c r="J596" s="215">
        <f>E593</f>
        <v>2.7</v>
      </c>
      <c r="K596" s="157"/>
      <c r="L596" s="165" t="s">
        <v>787</v>
      </c>
      <c r="M596" s="157">
        <v>100</v>
      </c>
      <c r="N596" s="157"/>
      <c r="O596" s="157" t="s">
        <v>784</v>
      </c>
      <c r="P596" s="157"/>
      <c r="Q596" s="257">
        <f>ROUND(G596*J596*M596,4)</f>
        <v>0.9</v>
      </c>
      <c r="R596" s="165" t="s">
        <v>562</v>
      </c>
      <c r="S596" s="833"/>
    </row>
    <row r="597" spans="1:19" ht="21" customHeight="1">
      <c r="A597" s="157"/>
      <c r="B597" s="157"/>
      <c r="C597" s="157" t="s">
        <v>232</v>
      </c>
      <c r="D597" s="157"/>
      <c r="E597" s="157"/>
      <c r="F597" s="157" t="s">
        <v>789</v>
      </c>
      <c r="G597" s="171">
        <f>Q590</f>
        <v>0.288</v>
      </c>
      <c r="H597" s="157"/>
      <c r="I597" s="157" t="s">
        <v>233</v>
      </c>
      <c r="J597" s="215">
        <f>Q596</f>
        <v>0.9</v>
      </c>
      <c r="K597" s="157"/>
      <c r="L597" s="165" t="s">
        <v>787</v>
      </c>
      <c r="M597" s="164" t="s">
        <v>234</v>
      </c>
      <c r="N597" s="157"/>
      <c r="O597" s="157" t="s">
        <v>784</v>
      </c>
      <c r="P597" s="157"/>
      <c r="Q597" s="173">
        <f>ROUND(((G597+J597)*70)/100,4)</f>
        <v>0.8316</v>
      </c>
      <c r="R597" s="165" t="s">
        <v>562</v>
      </c>
      <c r="S597" s="833"/>
    </row>
    <row r="598" spans="1:19" ht="21" customHeight="1">
      <c r="A598" s="157"/>
      <c r="B598" s="224" t="s">
        <v>562</v>
      </c>
      <c r="C598" s="224" t="s">
        <v>235</v>
      </c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833"/>
    </row>
    <row r="599" spans="1:19" ht="21" customHeight="1">
      <c r="A599" s="251"/>
      <c r="B599" s="258" t="s">
        <v>562</v>
      </c>
      <c r="C599" s="259" t="s">
        <v>479</v>
      </c>
      <c r="D599" s="259" t="s">
        <v>480</v>
      </c>
      <c r="E599" s="259"/>
      <c r="F599" s="258"/>
      <c r="G599" s="260" t="s">
        <v>778</v>
      </c>
      <c r="H599" s="260"/>
      <c r="I599" s="260"/>
      <c r="J599" s="260"/>
      <c r="K599" s="260"/>
      <c r="L599" s="260"/>
      <c r="M599" s="260"/>
      <c r="N599" s="260"/>
      <c r="O599" s="260"/>
      <c r="P599" s="260"/>
      <c r="Q599" s="260"/>
      <c r="R599" s="260"/>
      <c r="S599" s="833"/>
    </row>
    <row r="600" spans="1:19" ht="21" customHeight="1">
      <c r="A600" s="251"/>
      <c r="B600" s="261" t="s">
        <v>788</v>
      </c>
      <c r="C600" s="262">
        <v>500000</v>
      </c>
      <c r="D600" s="258">
        <v>1</v>
      </c>
      <c r="E600" s="263" t="s">
        <v>236</v>
      </c>
      <c r="F600" s="258" t="s">
        <v>789</v>
      </c>
      <c r="G600" s="264">
        <f>Q597</f>
        <v>0.8316</v>
      </c>
      <c r="H600" s="259"/>
      <c r="I600" s="259" t="s">
        <v>783</v>
      </c>
      <c r="J600" s="265">
        <f aca="true" t="shared" si="15" ref="J600:J620">D600</f>
        <v>1</v>
      </c>
      <c r="K600" s="258"/>
      <c r="L600" s="259"/>
      <c r="M600" s="259"/>
      <c r="N600" s="258"/>
      <c r="O600" s="258" t="s">
        <v>784</v>
      </c>
      <c r="P600" s="258"/>
      <c r="Q600" s="266">
        <f aca="true" t="shared" si="16" ref="Q600:Q620">ROUND(G600/J600,4)</f>
        <v>0.8316</v>
      </c>
      <c r="R600" s="258"/>
      <c r="S600" s="833"/>
    </row>
    <row r="601" spans="1:19" ht="21" customHeight="1">
      <c r="A601" s="251"/>
      <c r="B601" s="258"/>
      <c r="C601" s="262">
        <v>1000000</v>
      </c>
      <c r="D601" s="258">
        <v>1</v>
      </c>
      <c r="E601" s="263" t="s">
        <v>236</v>
      </c>
      <c r="F601" s="258" t="s">
        <v>789</v>
      </c>
      <c r="G601" s="264">
        <f>Q597</f>
        <v>0.8316</v>
      </c>
      <c r="H601" s="259"/>
      <c r="I601" s="259" t="s">
        <v>783</v>
      </c>
      <c r="J601" s="265">
        <f t="shared" si="15"/>
        <v>1</v>
      </c>
      <c r="K601" s="258"/>
      <c r="L601" s="259"/>
      <c r="M601" s="259"/>
      <c r="N601" s="258"/>
      <c r="O601" s="258" t="s">
        <v>784</v>
      </c>
      <c r="P601" s="258"/>
      <c r="Q601" s="266">
        <f t="shared" si="16"/>
        <v>0.8316</v>
      </c>
      <c r="R601" s="258"/>
      <c r="S601" s="833"/>
    </row>
    <row r="602" spans="1:19" ht="21" customHeight="1">
      <c r="A602" s="251"/>
      <c r="B602" s="258"/>
      <c r="C602" s="262">
        <v>2000000</v>
      </c>
      <c r="D602" s="258">
        <v>1</v>
      </c>
      <c r="E602" s="263" t="s">
        <v>236</v>
      </c>
      <c r="F602" s="258" t="s">
        <v>789</v>
      </c>
      <c r="G602" s="264">
        <f>Q597</f>
        <v>0.8316</v>
      </c>
      <c r="H602" s="259"/>
      <c r="I602" s="259" t="s">
        <v>783</v>
      </c>
      <c r="J602" s="265">
        <f t="shared" si="15"/>
        <v>1</v>
      </c>
      <c r="K602" s="258"/>
      <c r="L602" s="259"/>
      <c r="M602" s="259"/>
      <c r="N602" s="258"/>
      <c r="O602" s="258" t="s">
        <v>784</v>
      </c>
      <c r="P602" s="258"/>
      <c r="Q602" s="266">
        <f t="shared" si="16"/>
        <v>0.8316</v>
      </c>
      <c r="R602" s="258"/>
      <c r="S602" s="833"/>
    </row>
    <row r="603" spans="1:19" ht="21" customHeight="1">
      <c r="A603" s="251"/>
      <c r="B603" s="258"/>
      <c r="C603" s="262">
        <v>5000000</v>
      </c>
      <c r="D603" s="258">
        <v>1</v>
      </c>
      <c r="E603" s="263" t="s">
        <v>236</v>
      </c>
      <c r="F603" s="258" t="s">
        <v>789</v>
      </c>
      <c r="G603" s="264">
        <f>Q597</f>
        <v>0.8316</v>
      </c>
      <c r="H603" s="259"/>
      <c r="I603" s="259" t="s">
        <v>783</v>
      </c>
      <c r="J603" s="265">
        <f t="shared" si="15"/>
        <v>1</v>
      </c>
      <c r="K603" s="258"/>
      <c r="L603" s="259"/>
      <c r="M603" s="259"/>
      <c r="N603" s="258"/>
      <c r="O603" s="258" t="s">
        <v>784</v>
      </c>
      <c r="P603" s="258"/>
      <c r="Q603" s="266">
        <f t="shared" si="16"/>
        <v>0.8316</v>
      </c>
      <c r="R603" s="258"/>
      <c r="S603" s="833"/>
    </row>
    <row r="604" spans="1:19" ht="21" customHeight="1">
      <c r="A604" s="251"/>
      <c r="B604" s="258"/>
      <c r="C604" s="262">
        <v>10000000</v>
      </c>
      <c r="D604" s="258">
        <v>1</v>
      </c>
      <c r="E604" s="263" t="s">
        <v>236</v>
      </c>
      <c r="F604" s="258" t="s">
        <v>789</v>
      </c>
      <c r="G604" s="264">
        <f>Q597</f>
        <v>0.8316</v>
      </c>
      <c r="H604" s="259"/>
      <c r="I604" s="259" t="s">
        <v>783</v>
      </c>
      <c r="J604" s="265">
        <f t="shared" si="15"/>
        <v>1</v>
      </c>
      <c r="K604" s="258"/>
      <c r="L604" s="259"/>
      <c r="M604" s="259"/>
      <c r="N604" s="258"/>
      <c r="O604" s="258" t="s">
        <v>784</v>
      </c>
      <c r="P604" s="258"/>
      <c r="Q604" s="266">
        <f t="shared" si="16"/>
        <v>0.8316</v>
      </c>
      <c r="R604" s="258"/>
      <c r="S604" s="833"/>
    </row>
    <row r="605" spans="1:19" ht="21" customHeight="1">
      <c r="A605" s="251"/>
      <c r="B605" s="258"/>
      <c r="C605" s="262">
        <v>15000000</v>
      </c>
      <c r="D605" s="258">
        <v>1</v>
      </c>
      <c r="E605" s="263" t="s">
        <v>236</v>
      </c>
      <c r="F605" s="258" t="s">
        <v>789</v>
      </c>
      <c r="G605" s="264">
        <f>Q597</f>
        <v>0.8316</v>
      </c>
      <c r="H605" s="259"/>
      <c r="I605" s="259" t="s">
        <v>783</v>
      </c>
      <c r="J605" s="265">
        <f t="shared" si="15"/>
        <v>1</v>
      </c>
      <c r="K605" s="258"/>
      <c r="L605" s="259"/>
      <c r="M605" s="259"/>
      <c r="N605" s="258"/>
      <c r="O605" s="258" t="s">
        <v>784</v>
      </c>
      <c r="P605" s="258"/>
      <c r="Q605" s="266">
        <f t="shared" si="16"/>
        <v>0.8316</v>
      </c>
      <c r="R605" s="258"/>
      <c r="S605" s="833"/>
    </row>
    <row r="606" spans="1:19" ht="21" customHeight="1">
      <c r="A606" s="251"/>
      <c r="B606" s="258"/>
      <c r="C606" s="262">
        <v>20000000</v>
      </c>
      <c r="D606" s="258">
        <v>1</v>
      </c>
      <c r="E606" s="263" t="s">
        <v>236</v>
      </c>
      <c r="F606" s="258" t="s">
        <v>789</v>
      </c>
      <c r="G606" s="264">
        <f>Q597</f>
        <v>0.8316</v>
      </c>
      <c r="H606" s="259"/>
      <c r="I606" s="259" t="s">
        <v>783</v>
      </c>
      <c r="J606" s="265">
        <f t="shared" si="15"/>
        <v>1</v>
      </c>
      <c r="K606" s="258"/>
      <c r="L606" s="259"/>
      <c r="M606" s="259"/>
      <c r="N606" s="258"/>
      <c r="O606" s="258" t="s">
        <v>784</v>
      </c>
      <c r="P606" s="258"/>
      <c r="Q606" s="266">
        <f t="shared" si="16"/>
        <v>0.8316</v>
      </c>
      <c r="R606" s="258"/>
      <c r="S606" s="833"/>
    </row>
    <row r="607" spans="1:19" ht="21" customHeight="1">
      <c r="A607" s="251"/>
      <c r="B607" s="258"/>
      <c r="C607" s="262">
        <v>25000000</v>
      </c>
      <c r="D607" s="258">
        <v>1</v>
      </c>
      <c r="E607" s="263" t="s">
        <v>236</v>
      </c>
      <c r="F607" s="258" t="s">
        <v>789</v>
      </c>
      <c r="G607" s="264">
        <f>Q597</f>
        <v>0.8316</v>
      </c>
      <c r="H607" s="259"/>
      <c r="I607" s="259" t="s">
        <v>783</v>
      </c>
      <c r="J607" s="265">
        <f t="shared" si="15"/>
        <v>1</v>
      </c>
      <c r="K607" s="258"/>
      <c r="L607" s="259"/>
      <c r="M607" s="259"/>
      <c r="N607" s="258"/>
      <c r="O607" s="258" t="s">
        <v>784</v>
      </c>
      <c r="P607" s="258"/>
      <c r="Q607" s="266">
        <f t="shared" si="16"/>
        <v>0.8316</v>
      </c>
      <c r="R607" s="258"/>
      <c r="S607" s="833"/>
    </row>
    <row r="608" spans="1:19" ht="21" customHeight="1">
      <c r="A608" s="251"/>
      <c r="B608" s="258"/>
      <c r="C608" s="262">
        <v>30000000</v>
      </c>
      <c r="D608" s="258">
        <v>1</v>
      </c>
      <c r="E608" s="263" t="s">
        <v>236</v>
      </c>
      <c r="F608" s="258" t="s">
        <v>789</v>
      </c>
      <c r="G608" s="264">
        <f>Q597</f>
        <v>0.8316</v>
      </c>
      <c r="H608" s="259"/>
      <c r="I608" s="259" t="s">
        <v>783</v>
      </c>
      <c r="J608" s="265">
        <f t="shared" si="15"/>
        <v>1</v>
      </c>
      <c r="K608" s="258"/>
      <c r="L608" s="259"/>
      <c r="M608" s="259"/>
      <c r="N608" s="258"/>
      <c r="O608" s="258" t="s">
        <v>784</v>
      </c>
      <c r="P608" s="258"/>
      <c r="Q608" s="266">
        <f t="shared" si="16"/>
        <v>0.8316</v>
      </c>
      <c r="R608" s="258"/>
      <c r="S608" s="833"/>
    </row>
    <row r="609" spans="1:19" ht="21" customHeight="1">
      <c r="A609" s="251"/>
      <c r="B609" s="258"/>
      <c r="C609" s="262">
        <v>40000000</v>
      </c>
      <c r="D609" s="258">
        <v>1</v>
      </c>
      <c r="E609" s="263" t="s">
        <v>236</v>
      </c>
      <c r="F609" s="258" t="s">
        <v>789</v>
      </c>
      <c r="G609" s="264">
        <f>Q597</f>
        <v>0.8316</v>
      </c>
      <c r="H609" s="259"/>
      <c r="I609" s="259" t="s">
        <v>783</v>
      </c>
      <c r="J609" s="265">
        <f t="shared" si="15"/>
        <v>1</v>
      </c>
      <c r="K609" s="258"/>
      <c r="L609" s="259"/>
      <c r="M609" s="259"/>
      <c r="N609" s="258"/>
      <c r="O609" s="258" t="s">
        <v>784</v>
      </c>
      <c r="P609" s="258"/>
      <c r="Q609" s="266">
        <f t="shared" si="16"/>
        <v>0.8316</v>
      </c>
      <c r="R609" s="258"/>
      <c r="S609" s="833"/>
    </row>
    <row r="610" spans="1:19" ht="21" customHeight="1">
      <c r="A610" s="251"/>
      <c r="B610" s="258"/>
      <c r="C610" s="262">
        <v>50000000</v>
      </c>
      <c r="D610" s="258">
        <v>1</v>
      </c>
      <c r="E610" s="263" t="s">
        <v>236</v>
      </c>
      <c r="F610" s="258" t="s">
        <v>789</v>
      </c>
      <c r="G610" s="264">
        <f>Q597</f>
        <v>0.8316</v>
      </c>
      <c r="H610" s="259"/>
      <c r="I610" s="259" t="s">
        <v>783</v>
      </c>
      <c r="J610" s="265">
        <f t="shared" si="15"/>
        <v>1</v>
      </c>
      <c r="K610" s="258"/>
      <c r="L610" s="259"/>
      <c r="M610" s="259"/>
      <c r="N610" s="258"/>
      <c r="O610" s="258" t="s">
        <v>784</v>
      </c>
      <c r="P610" s="258"/>
      <c r="Q610" s="266">
        <f t="shared" si="16"/>
        <v>0.8316</v>
      </c>
      <c r="R610" s="258"/>
      <c r="S610" s="833"/>
    </row>
    <row r="611" spans="1:19" ht="21" customHeight="1">
      <c r="A611" s="251"/>
      <c r="B611" s="258"/>
      <c r="C611" s="262">
        <v>60000000</v>
      </c>
      <c r="D611" s="258">
        <v>1</v>
      </c>
      <c r="E611" s="263" t="s">
        <v>236</v>
      </c>
      <c r="F611" s="258" t="s">
        <v>789</v>
      </c>
      <c r="G611" s="264">
        <f>Q597</f>
        <v>0.8316</v>
      </c>
      <c r="H611" s="259"/>
      <c r="I611" s="259" t="s">
        <v>783</v>
      </c>
      <c r="J611" s="265">
        <f t="shared" si="15"/>
        <v>1</v>
      </c>
      <c r="K611" s="258"/>
      <c r="L611" s="259"/>
      <c r="M611" s="259"/>
      <c r="N611" s="258"/>
      <c r="O611" s="258" t="s">
        <v>784</v>
      </c>
      <c r="P611" s="258"/>
      <c r="Q611" s="266">
        <f t="shared" si="16"/>
        <v>0.8316</v>
      </c>
      <c r="R611" s="258"/>
      <c r="S611" s="833"/>
    </row>
    <row r="612" spans="1:19" ht="21" customHeight="1">
      <c r="A612" s="251"/>
      <c r="B612" s="258"/>
      <c r="C612" s="262">
        <v>70000000</v>
      </c>
      <c r="D612" s="258">
        <v>1</v>
      </c>
      <c r="E612" s="263" t="s">
        <v>236</v>
      </c>
      <c r="F612" s="258" t="s">
        <v>789</v>
      </c>
      <c r="G612" s="264">
        <f>Q597</f>
        <v>0.8316</v>
      </c>
      <c r="H612" s="259"/>
      <c r="I612" s="259" t="s">
        <v>783</v>
      </c>
      <c r="J612" s="265">
        <f t="shared" si="15"/>
        <v>1</v>
      </c>
      <c r="K612" s="258"/>
      <c r="L612" s="259"/>
      <c r="M612" s="259"/>
      <c r="N612" s="258"/>
      <c r="O612" s="258" t="s">
        <v>784</v>
      </c>
      <c r="P612" s="258"/>
      <c r="Q612" s="266">
        <f t="shared" si="16"/>
        <v>0.8316</v>
      </c>
      <c r="R612" s="258"/>
      <c r="S612" s="833"/>
    </row>
    <row r="613" spans="1:19" ht="21" customHeight="1">
      <c r="A613" s="251"/>
      <c r="B613" s="258"/>
      <c r="C613" s="262">
        <v>80000000</v>
      </c>
      <c r="D613" s="258">
        <v>1</v>
      </c>
      <c r="E613" s="263" t="s">
        <v>236</v>
      </c>
      <c r="F613" s="258" t="s">
        <v>789</v>
      </c>
      <c r="G613" s="264">
        <f>Q597</f>
        <v>0.8316</v>
      </c>
      <c r="H613" s="259"/>
      <c r="I613" s="259" t="s">
        <v>783</v>
      </c>
      <c r="J613" s="265">
        <f t="shared" si="15"/>
        <v>1</v>
      </c>
      <c r="K613" s="258"/>
      <c r="L613" s="259"/>
      <c r="M613" s="259"/>
      <c r="N613" s="258"/>
      <c r="O613" s="258" t="s">
        <v>784</v>
      </c>
      <c r="P613" s="258"/>
      <c r="Q613" s="266">
        <f t="shared" si="16"/>
        <v>0.8316</v>
      </c>
      <c r="R613" s="258"/>
      <c r="S613" s="833"/>
    </row>
    <row r="614" spans="1:19" ht="21" customHeight="1">
      <c r="A614" s="251"/>
      <c r="B614" s="258"/>
      <c r="C614" s="262">
        <v>90000000</v>
      </c>
      <c r="D614" s="258">
        <v>1</v>
      </c>
      <c r="E614" s="263" t="s">
        <v>236</v>
      </c>
      <c r="F614" s="258" t="s">
        <v>789</v>
      </c>
      <c r="G614" s="264">
        <f>Q597</f>
        <v>0.8316</v>
      </c>
      <c r="H614" s="259"/>
      <c r="I614" s="259" t="s">
        <v>783</v>
      </c>
      <c r="J614" s="265">
        <f t="shared" si="15"/>
        <v>1</v>
      </c>
      <c r="K614" s="258"/>
      <c r="L614" s="259"/>
      <c r="M614" s="259"/>
      <c r="N614" s="258"/>
      <c r="O614" s="258" t="s">
        <v>784</v>
      </c>
      <c r="P614" s="258"/>
      <c r="Q614" s="266">
        <f t="shared" si="16"/>
        <v>0.8316</v>
      </c>
      <c r="R614" s="258"/>
      <c r="S614" s="833"/>
    </row>
    <row r="615" spans="1:19" ht="21" customHeight="1">
      <c r="A615" s="251"/>
      <c r="B615" s="258"/>
      <c r="C615" s="262">
        <v>100000000</v>
      </c>
      <c r="D615" s="258">
        <v>1</v>
      </c>
      <c r="E615" s="263" t="s">
        <v>236</v>
      </c>
      <c r="F615" s="258" t="s">
        <v>789</v>
      </c>
      <c r="G615" s="264">
        <f>Q597</f>
        <v>0.8316</v>
      </c>
      <c r="H615" s="259"/>
      <c r="I615" s="259" t="s">
        <v>783</v>
      </c>
      <c r="J615" s="265">
        <f t="shared" si="15"/>
        <v>1</v>
      </c>
      <c r="K615" s="258"/>
      <c r="L615" s="259"/>
      <c r="M615" s="259"/>
      <c r="N615" s="258"/>
      <c r="O615" s="258" t="s">
        <v>784</v>
      </c>
      <c r="P615" s="258"/>
      <c r="Q615" s="266">
        <f t="shared" si="16"/>
        <v>0.8316</v>
      </c>
      <c r="R615" s="258"/>
      <c r="S615" s="833"/>
    </row>
    <row r="616" spans="1:19" ht="21" customHeight="1">
      <c r="A616" s="251"/>
      <c r="B616" s="258"/>
      <c r="C616" s="262">
        <v>150000000</v>
      </c>
      <c r="D616" s="258">
        <v>1</v>
      </c>
      <c r="E616" s="263" t="s">
        <v>236</v>
      </c>
      <c r="F616" s="258" t="s">
        <v>789</v>
      </c>
      <c r="G616" s="264">
        <f>Q597</f>
        <v>0.8316</v>
      </c>
      <c r="H616" s="259"/>
      <c r="I616" s="259" t="s">
        <v>783</v>
      </c>
      <c r="J616" s="265">
        <f t="shared" si="15"/>
        <v>1</v>
      </c>
      <c r="K616" s="258"/>
      <c r="L616" s="259"/>
      <c r="M616" s="259"/>
      <c r="N616" s="258"/>
      <c r="O616" s="258" t="s">
        <v>784</v>
      </c>
      <c r="P616" s="258"/>
      <c r="Q616" s="266">
        <f t="shared" si="16"/>
        <v>0.8316</v>
      </c>
      <c r="R616" s="258"/>
      <c r="S616" s="833"/>
    </row>
    <row r="617" spans="1:19" ht="21" customHeight="1">
      <c r="A617" s="251"/>
      <c r="B617" s="258"/>
      <c r="C617" s="262">
        <v>200000000</v>
      </c>
      <c r="D617" s="258">
        <v>1</v>
      </c>
      <c r="E617" s="263" t="s">
        <v>236</v>
      </c>
      <c r="F617" s="258" t="s">
        <v>789</v>
      </c>
      <c r="G617" s="264">
        <f>Q597</f>
        <v>0.8316</v>
      </c>
      <c r="H617" s="259"/>
      <c r="I617" s="259" t="s">
        <v>783</v>
      </c>
      <c r="J617" s="265">
        <f t="shared" si="15"/>
        <v>1</v>
      </c>
      <c r="K617" s="258"/>
      <c r="L617" s="259"/>
      <c r="M617" s="259"/>
      <c r="N617" s="258"/>
      <c r="O617" s="258" t="s">
        <v>784</v>
      </c>
      <c r="P617" s="258"/>
      <c r="Q617" s="266">
        <f t="shared" si="16"/>
        <v>0.8316</v>
      </c>
      <c r="R617" s="258"/>
      <c r="S617" s="833"/>
    </row>
    <row r="618" spans="1:19" ht="21" customHeight="1">
      <c r="A618" s="251"/>
      <c r="B618" s="258"/>
      <c r="C618" s="262">
        <v>250000000</v>
      </c>
      <c r="D618" s="258">
        <v>1</v>
      </c>
      <c r="E618" s="263" t="s">
        <v>236</v>
      </c>
      <c r="F618" s="258" t="s">
        <v>789</v>
      </c>
      <c r="G618" s="264">
        <f>Q597</f>
        <v>0.8316</v>
      </c>
      <c r="H618" s="259"/>
      <c r="I618" s="259" t="s">
        <v>783</v>
      </c>
      <c r="J618" s="265">
        <f t="shared" si="15"/>
        <v>1</v>
      </c>
      <c r="K618" s="258"/>
      <c r="L618" s="259"/>
      <c r="M618" s="259"/>
      <c r="N618" s="258"/>
      <c r="O618" s="258" t="s">
        <v>784</v>
      </c>
      <c r="P618" s="258"/>
      <c r="Q618" s="266">
        <f t="shared" si="16"/>
        <v>0.8316</v>
      </c>
      <c r="R618" s="258"/>
      <c r="S618" s="833"/>
    </row>
    <row r="619" spans="1:19" ht="21" customHeight="1">
      <c r="A619" s="251"/>
      <c r="B619" s="258"/>
      <c r="C619" s="262">
        <v>300000000</v>
      </c>
      <c r="D619" s="258">
        <v>1</v>
      </c>
      <c r="E619" s="263" t="s">
        <v>236</v>
      </c>
      <c r="F619" s="258" t="s">
        <v>789</v>
      </c>
      <c r="G619" s="264">
        <f>Q597</f>
        <v>0.8316</v>
      </c>
      <c r="H619" s="259"/>
      <c r="I619" s="259" t="s">
        <v>783</v>
      </c>
      <c r="J619" s="265">
        <f t="shared" si="15"/>
        <v>1</v>
      </c>
      <c r="K619" s="258"/>
      <c r="L619" s="259"/>
      <c r="M619" s="259"/>
      <c r="N619" s="258"/>
      <c r="O619" s="258" t="s">
        <v>784</v>
      </c>
      <c r="P619" s="258"/>
      <c r="Q619" s="266">
        <f t="shared" si="16"/>
        <v>0.8316</v>
      </c>
      <c r="R619" s="258"/>
      <c r="S619" s="833"/>
    </row>
    <row r="620" spans="1:19" ht="21" customHeight="1">
      <c r="A620" s="251"/>
      <c r="B620" s="258"/>
      <c r="C620" s="262">
        <v>350000000</v>
      </c>
      <c r="D620" s="258">
        <v>1</v>
      </c>
      <c r="E620" s="263" t="s">
        <v>236</v>
      </c>
      <c r="F620" s="258" t="s">
        <v>789</v>
      </c>
      <c r="G620" s="264">
        <f>Q597</f>
        <v>0.8316</v>
      </c>
      <c r="H620" s="259"/>
      <c r="I620" s="259" t="s">
        <v>783</v>
      </c>
      <c r="J620" s="265">
        <f t="shared" si="15"/>
        <v>1</v>
      </c>
      <c r="K620" s="258"/>
      <c r="L620" s="259"/>
      <c r="M620" s="259"/>
      <c r="N620" s="258"/>
      <c r="O620" s="258" t="s">
        <v>784</v>
      </c>
      <c r="P620" s="258"/>
      <c r="Q620" s="266">
        <f t="shared" si="16"/>
        <v>0.8316</v>
      </c>
      <c r="R620" s="258"/>
      <c r="S620" s="833"/>
    </row>
    <row r="621" spans="1:19" ht="21" customHeight="1">
      <c r="A621" s="835" t="s">
        <v>237</v>
      </c>
      <c r="B621" s="835"/>
      <c r="C621" s="835"/>
      <c r="D621" s="835"/>
      <c r="E621" s="835"/>
      <c r="F621" s="835"/>
      <c r="G621" s="835"/>
      <c r="H621" s="835"/>
      <c r="I621" s="835"/>
      <c r="J621" s="835"/>
      <c r="K621" s="835"/>
      <c r="L621" s="835"/>
      <c r="M621" s="835"/>
      <c r="N621" s="835"/>
      <c r="O621" s="835"/>
      <c r="P621" s="835"/>
      <c r="Q621" s="835"/>
      <c r="R621" s="835"/>
      <c r="S621" s="833"/>
    </row>
    <row r="622" spans="1:19" ht="21" customHeight="1">
      <c r="A622" s="251"/>
      <c r="B622" s="258" t="s">
        <v>562</v>
      </c>
      <c r="C622" s="259" t="s">
        <v>479</v>
      </c>
      <c r="D622" s="259" t="s">
        <v>480</v>
      </c>
      <c r="E622" s="259"/>
      <c r="F622" s="258"/>
      <c r="G622" s="841" t="s">
        <v>778</v>
      </c>
      <c r="H622" s="841"/>
      <c r="I622" s="841"/>
      <c r="J622" s="841"/>
      <c r="K622" s="841"/>
      <c r="L622" s="841"/>
      <c r="M622" s="841"/>
      <c r="N622" s="841"/>
      <c r="O622" s="841"/>
      <c r="P622" s="841"/>
      <c r="Q622" s="841"/>
      <c r="R622" s="841"/>
      <c r="S622" s="832" t="s">
        <v>238</v>
      </c>
    </row>
    <row r="623" spans="1:19" ht="21" customHeight="1">
      <c r="A623" s="251"/>
      <c r="B623" s="261" t="s">
        <v>788</v>
      </c>
      <c r="C623" s="262">
        <v>400000000</v>
      </c>
      <c r="D623" s="258">
        <v>1</v>
      </c>
      <c r="E623" s="263" t="s">
        <v>236</v>
      </c>
      <c r="F623" s="258" t="s">
        <v>789</v>
      </c>
      <c r="G623" s="264">
        <f>Q600</f>
        <v>0.8316</v>
      </c>
      <c r="H623" s="259"/>
      <c r="I623" s="259" t="s">
        <v>783</v>
      </c>
      <c r="J623" s="265">
        <f>D623</f>
        <v>1</v>
      </c>
      <c r="K623" s="258"/>
      <c r="L623" s="259"/>
      <c r="M623" s="259"/>
      <c r="N623" s="258"/>
      <c r="O623" s="258" t="s">
        <v>784</v>
      </c>
      <c r="P623" s="258"/>
      <c r="Q623" s="266">
        <f>ROUND(G623/J623,4)</f>
        <v>0.8316</v>
      </c>
      <c r="R623" s="258"/>
      <c r="S623" s="832"/>
    </row>
    <row r="624" spans="1:19" ht="21" customHeight="1">
      <c r="A624" s="251"/>
      <c r="B624" s="258"/>
      <c r="C624" s="262">
        <v>500000000</v>
      </c>
      <c r="D624" s="258">
        <v>1</v>
      </c>
      <c r="E624" s="263" t="s">
        <v>236</v>
      </c>
      <c r="F624" s="258" t="s">
        <v>789</v>
      </c>
      <c r="G624" s="264">
        <f>Q601</f>
        <v>0.8316</v>
      </c>
      <c r="H624" s="259"/>
      <c r="I624" s="259" t="s">
        <v>783</v>
      </c>
      <c r="J624" s="265">
        <f>D624</f>
        <v>1</v>
      </c>
      <c r="K624" s="258"/>
      <c r="L624" s="259"/>
      <c r="M624" s="259"/>
      <c r="N624" s="258"/>
      <c r="O624" s="258" t="s">
        <v>784</v>
      </c>
      <c r="P624" s="258"/>
      <c r="Q624" s="266">
        <f>ROUND(G624/J624,4)</f>
        <v>0.8316</v>
      </c>
      <c r="R624" s="258"/>
      <c r="S624" s="832"/>
    </row>
    <row r="625" spans="1:19" ht="21" customHeight="1">
      <c r="A625" s="251"/>
      <c r="B625" s="258"/>
      <c r="C625" s="262">
        <v>1000000000</v>
      </c>
      <c r="D625" s="258">
        <v>1</v>
      </c>
      <c r="E625" s="263" t="s">
        <v>236</v>
      </c>
      <c r="F625" s="258" t="s">
        <v>789</v>
      </c>
      <c r="G625" s="264">
        <f>Q603</f>
        <v>0.8316</v>
      </c>
      <c r="H625" s="259"/>
      <c r="I625" s="259" t="s">
        <v>783</v>
      </c>
      <c r="J625" s="265">
        <f>D625</f>
        <v>1</v>
      </c>
      <c r="K625" s="258"/>
      <c r="L625" s="259"/>
      <c r="M625" s="259"/>
      <c r="N625" s="258"/>
      <c r="O625" s="258" t="s">
        <v>784</v>
      </c>
      <c r="P625" s="258"/>
      <c r="Q625" s="266">
        <f>ROUND(G625/J625,4)</f>
        <v>0.8316</v>
      </c>
      <c r="R625" s="258"/>
      <c r="S625" s="832"/>
    </row>
    <row r="626" spans="1:19" ht="21" customHeight="1">
      <c r="A626" s="251"/>
      <c r="B626" s="251" t="s">
        <v>239</v>
      </c>
      <c r="C626" s="253" t="s">
        <v>240</v>
      </c>
      <c r="D626" s="251"/>
      <c r="E626" s="251"/>
      <c r="F626" s="251"/>
      <c r="G626" s="251"/>
      <c r="H626" s="251"/>
      <c r="I626" s="251"/>
      <c r="J626" s="251"/>
      <c r="K626" s="251"/>
      <c r="L626" s="251"/>
      <c r="M626" s="251"/>
      <c r="N626" s="251"/>
      <c r="O626" s="251"/>
      <c r="P626" s="251"/>
      <c r="Q626" s="251"/>
      <c r="R626" s="251"/>
      <c r="S626" s="832"/>
    </row>
    <row r="627" spans="1:19" ht="21" customHeight="1">
      <c r="A627" s="251"/>
      <c r="B627" s="251" t="s">
        <v>241</v>
      </c>
      <c r="C627" s="253" t="s">
        <v>150</v>
      </c>
      <c r="D627" s="251"/>
      <c r="E627" s="251"/>
      <c r="F627" s="251"/>
      <c r="G627" s="251"/>
      <c r="H627" s="251"/>
      <c r="I627" s="251"/>
      <c r="J627" s="251"/>
      <c r="K627" s="251"/>
      <c r="L627" s="251"/>
      <c r="M627" s="251"/>
      <c r="N627" s="251"/>
      <c r="O627" s="251"/>
      <c r="P627" s="251"/>
      <c r="Q627" s="251"/>
      <c r="R627" s="251"/>
      <c r="S627" s="832"/>
    </row>
    <row r="628" spans="1:19" ht="21" customHeight="1">
      <c r="A628" s="251"/>
      <c r="B628" s="251"/>
      <c r="C628" s="251" t="s">
        <v>213</v>
      </c>
      <c r="D628" s="251"/>
      <c r="E628" s="251"/>
      <c r="F628" s="251"/>
      <c r="G628" s="251"/>
      <c r="H628" s="251"/>
      <c r="I628" s="251"/>
      <c r="J628" s="251"/>
      <c r="K628" s="251"/>
      <c r="L628" s="251"/>
      <c r="M628" s="251"/>
      <c r="N628" s="251"/>
      <c r="O628" s="251"/>
      <c r="P628" s="251"/>
      <c r="Q628" s="251"/>
      <c r="R628" s="251"/>
      <c r="S628" s="832"/>
    </row>
    <row r="629" spans="1:19" ht="21" customHeight="1">
      <c r="A629" s="251"/>
      <c r="B629" s="251"/>
      <c r="C629" s="251" t="s">
        <v>242</v>
      </c>
      <c r="D629" s="251"/>
      <c r="E629" s="267">
        <v>14.4</v>
      </c>
      <c r="F629" s="251"/>
      <c r="G629" s="268" t="s">
        <v>219</v>
      </c>
      <c r="H629" s="251"/>
      <c r="I629" s="251"/>
      <c r="J629" s="251"/>
      <c r="K629" s="251"/>
      <c r="L629" s="251"/>
      <c r="M629" s="251"/>
      <c r="N629" s="251"/>
      <c r="O629" s="251"/>
      <c r="P629" s="251"/>
      <c r="Q629" s="251"/>
      <c r="R629" s="251"/>
      <c r="S629" s="832"/>
    </row>
    <row r="630" spans="1:19" ht="21" customHeight="1">
      <c r="A630" s="251"/>
      <c r="B630" s="251"/>
      <c r="C630" s="251" t="s">
        <v>243</v>
      </c>
      <c r="D630" s="251"/>
      <c r="E630" s="269">
        <f>120/1000*3</f>
        <v>0.36</v>
      </c>
      <c r="F630" s="251"/>
      <c r="G630" s="251" t="s">
        <v>215</v>
      </c>
      <c r="H630" s="251"/>
      <c r="I630" s="251"/>
      <c r="J630" s="251"/>
      <c r="K630" s="251"/>
      <c r="L630" s="251"/>
      <c r="M630" s="251"/>
      <c r="N630" s="251"/>
      <c r="O630" s="251"/>
      <c r="P630" s="251"/>
      <c r="Q630" s="251"/>
      <c r="R630" s="251"/>
      <c r="S630" s="832"/>
    </row>
    <row r="631" spans="1:19" ht="21" customHeight="1">
      <c r="A631" s="251"/>
      <c r="B631" s="251" t="s">
        <v>562</v>
      </c>
      <c r="C631" s="251" t="s">
        <v>244</v>
      </c>
      <c r="D631" s="251"/>
      <c r="E631" s="270">
        <f>E630*30</f>
        <v>10.799999999999999</v>
      </c>
      <c r="F631" s="251"/>
      <c r="G631" s="251" t="s">
        <v>245</v>
      </c>
      <c r="H631" s="251"/>
      <c r="I631" s="251"/>
      <c r="J631" s="251"/>
      <c r="K631" s="251"/>
      <c r="L631" s="251"/>
      <c r="M631" s="251"/>
      <c r="N631" s="251"/>
      <c r="O631" s="251"/>
      <c r="P631" s="251"/>
      <c r="Q631" s="251"/>
      <c r="R631" s="251"/>
      <c r="S631" s="832"/>
    </row>
    <row r="632" spans="1:19" ht="21" customHeight="1">
      <c r="A632" s="251"/>
      <c r="B632" s="251" t="s">
        <v>562</v>
      </c>
      <c r="C632" s="251" t="s">
        <v>246</v>
      </c>
      <c r="D632" s="251"/>
      <c r="E632" s="271">
        <f>E631*E629</f>
        <v>155.51999999999998</v>
      </c>
      <c r="F632" s="251"/>
      <c r="G632" s="268" t="s">
        <v>247</v>
      </c>
      <c r="H632" s="251"/>
      <c r="I632" s="251"/>
      <c r="J632" s="251"/>
      <c r="K632" s="251"/>
      <c r="L632" s="251"/>
      <c r="M632" s="251"/>
      <c r="N632" s="251"/>
      <c r="O632" s="251"/>
      <c r="P632" s="251"/>
      <c r="Q632" s="251"/>
      <c r="R632" s="251"/>
      <c r="S632" s="832"/>
    </row>
    <row r="633" spans="1:19" ht="21" customHeight="1">
      <c r="A633" s="251"/>
      <c r="B633" s="272" t="s">
        <v>562</v>
      </c>
      <c r="C633" s="251" t="s">
        <v>142</v>
      </c>
      <c r="D633" s="251"/>
      <c r="E633" s="251"/>
      <c r="F633" s="251" t="s">
        <v>789</v>
      </c>
      <c r="G633" s="273">
        <f>E632</f>
        <v>155.51999999999998</v>
      </c>
      <c r="H633" s="251"/>
      <c r="I633" s="274" t="s">
        <v>787</v>
      </c>
      <c r="J633" s="251">
        <v>70</v>
      </c>
      <c r="K633" s="251"/>
      <c r="L633" s="274" t="s">
        <v>783</v>
      </c>
      <c r="M633" s="275">
        <v>100</v>
      </c>
      <c r="N633" s="251"/>
      <c r="O633" s="251" t="s">
        <v>784</v>
      </c>
      <c r="P633" s="251"/>
      <c r="Q633" s="276">
        <f>G633*J633/M633</f>
        <v>108.86399999999998</v>
      </c>
      <c r="R633" s="251"/>
      <c r="S633" s="832"/>
    </row>
    <row r="634" spans="1:19" ht="21" customHeight="1">
      <c r="A634" s="251"/>
      <c r="B634" s="251" t="s">
        <v>562</v>
      </c>
      <c r="C634" s="274" t="s">
        <v>479</v>
      </c>
      <c r="D634" s="274" t="s">
        <v>480</v>
      </c>
      <c r="E634" s="274"/>
      <c r="F634" s="251"/>
      <c r="G634" s="840" t="s">
        <v>778</v>
      </c>
      <c r="H634" s="840"/>
      <c r="I634" s="840"/>
      <c r="J634" s="840"/>
      <c r="K634" s="840"/>
      <c r="L634" s="840"/>
      <c r="M634" s="840"/>
      <c r="N634" s="840"/>
      <c r="O634" s="840"/>
      <c r="P634" s="840"/>
      <c r="Q634" s="840"/>
      <c r="R634" s="840"/>
      <c r="S634" s="832"/>
    </row>
    <row r="635" spans="1:19" ht="21" customHeight="1">
      <c r="A635" s="251"/>
      <c r="B635" s="272" t="s">
        <v>788</v>
      </c>
      <c r="C635" s="275">
        <v>500000</v>
      </c>
      <c r="D635" s="278">
        <v>6</v>
      </c>
      <c r="E635" s="279" t="s">
        <v>821</v>
      </c>
      <c r="F635" s="251" t="s">
        <v>789</v>
      </c>
      <c r="G635" s="276">
        <f>Q633</f>
        <v>108.86399999999998</v>
      </c>
      <c r="H635" s="274" t="s">
        <v>787</v>
      </c>
      <c r="I635" s="274">
        <f>D635</f>
        <v>6</v>
      </c>
      <c r="J635" s="251" t="s">
        <v>248</v>
      </c>
      <c r="K635" s="251"/>
      <c r="L635" s="251" t="s">
        <v>783</v>
      </c>
      <c r="M635" s="280">
        <f>C635</f>
        <v>500000</v>
      </c>
      <c r="N635" s="251"/>
      <c r="O635" s="251" t="s">
        <v>784</v>
      </c>
      <c r="P635" s="251"/>
      <c r="Q635" s="281">
        <f>ROUND(G635*D635*100/M635,4)</f>
        <v>0.1306</v>
      </c>
      <c r="R635" s="274" t="s">
        <v>562</v>
      </c>
      <c r="S635" s="832"/>
    </row>
    <row r="636" spans="1:19" ht="21" customHeight="1">
      <c r="A636" s="251"/>
      <c r="B636" s="251"/>
      <c r="C636" s="275">
        <v>1000000</v>
      </c>
      <c r="D636" s="278">
        <v>6</v>
      </c>
      <c r="E636" s="279" t="s">
        <v>821</v>
      </c>
      <c r="F636" s="251" t="s">
        <v>789</v>
      </c>
      <c r="G636" s="276">
        <f>Q633</f>
        <v>108.86399999999998</v>
      </c>
      <c r="H636" s="274" t="s">
        <v>787</v>
      </c>
      <c r="I636" s="274">
        <f>D636</f>
        <v>6</v>
      </c>
      <c r="J636" s="251" t="s">
        <v>248</v>
      </c>
      <c r="K636" s="251"/>
      <c r="L636" s="251" t="s">
        <v>783</v>
      </c>
      <c r="M636" s="280">
        <f>C636</f>
        <v>1000000</v>
      </c>
      <c r="N636" s="251"/>
      <c r="O636" s="251" t="s">
        <v>784</v>
      </c>
      <c r="P636" s="251"/>
      <c r="Q636" s="281">
        <f>ROUND(G636*D636*100/M636,4)</f>
        <v>0.0653</v>
      </c>
      <c r="R636" s="274" t="s">
        <v>562</v>
      </c>
      <c r="S636" s="832"/>
    </row>
    <row r="637" spans="1:19" ht="21" customHeight="1">
      <c r="A637" s="251"/>
      <c r="B637" s="251"/>
      <c r="C637" s="275">
        <v>2000000</v>
      </c>
      <c r="D637" s="278">
        <v>9</v>
      </c>
      <c r="E637" s="279" t="s">
        <v>821</v>
      </c>
      <c r="F637" s="251" t="s">
        <v>789</v>
      </c>
      <c r="G637" s="276">
        <f>Q633</f>
        <v>108.86399999999998</v>
      </c>
      <c r="H637" s="274" t="s">
        <v>787</v>
      </c>
      <c r="I637" s="274">
        <f>D637</f>
        <v>9</v>
      </c>
      <c r="J637" s="251" t="s">
        <v>248</v>
      </c>
      <c r="K637" s="251"/>
      <c r="L637" s="251" t="s">
        <v>783</v>
      </c>
      <c r="M637" s="280">
        <f>C637</f>
        <v>2000000</v>
      </c>
      <c r="N637" s="251"/>
      <c r="O637" s="251" t="s">
        <v>784</v>
      </c>
      <c r="P637" s="251"/>
      <c r="Q637" s="281">
        <f>ROUND(G637*D637*100/M637,4)</f>
        <v>0.049</v>
      </c>
      <c r="R637" s="274"/>
      <c r="S637" s="832"/>
    </row>
    <row r="638" spans="1:19" ht="21" customHeight="1">
      <c r="A638" s="251"/>
      <c r="B638" s="251"/>
      <c r="C638" s="275">
        <v>5000000</v>
      </c>
      <c r="D638" s="278">
        <v>12</v>
      </c>
      <c r="E638" s="279" t="s">
        <v>821</v>
      </c>
      <c r="F638" s="251" t="s">
        <v>789</v>
      </c>
      <c r="G638" s="276">
        <f>Q633</f>
        <v>108.86399999999998</v>
      </c>
      <c r="H638" s="274" t="s">
        <v>787</v>
      </c>
      <c r="I638" s="274">
        <f>D638</f>
        <v>12</v>
      </c>
      <c r="J638" s="251" t="s">
        <v>248</v>
      </c>
      <c r="K638" s="251"/>
      <c r="L638" s="251" t="s">
        <v>783</v>
      </c>
      <c r="M638" s="280">
        <f>C638</f>
        <v>5000000</v>
      </c>
      <c r="N638" s="251"/>
      <c r="O638" s="251" t="s">
        <v>784</v>
      </c>
      <c r="P638" s="251"/>
      <c r="Q638" s="281">
        <f>ROUND(G638*D638*100/M638,4)</f>
        <v>0.0261</v>
      </c>
      <c r="R638" s="274" t="s">
        <v>562</v>
      </c>
      <c r="S638" s="832"/>
    </row>
    <row r="639" spans="1:19" ht="21" customHeight="1">
      <c r="A639" s="251"/>
      <c r="B639" s="251"/>
      <c r="C639" s="275">
        <v>10000000</v>
      </c>
      <c r="D639" s="278">
        <v>15</v>
      </c>
      <c r="E639" s="279" t="s">
        <v>821</v>
      </c>
      <c r="F639" s="251" t="s">
        <v>789</v>
      </c>
      <c r="G639" s="276">
        <f>Q633</f>
        <v>108.86399999999998</v>
      </c>
      <c r="H639" s="274" t="s">
        <v>787</v>
      </c>
      <c r="I639" s="274">
        <f>D639</f>
        <v>15</v>
      </c>
      <c r="J639" s="251" t="s">
        <v>248</v>
      </c>
      <c r="K639" s="251"/>
      <c r="L639" s="251" t="s">
        <v>783</v>
      </c>
      <c r="M639" s="280">
        <f>C639</f>
        <v>10000000</v>
      </c>
      <c r="N639" s="251"/>
      <c r="O639" s="251" t="s">
        <v>784</v>
      </c>
      <c r="P639" s="251"/>
      <c r="Q639" s="281">
        <f>ROUND(G639*D639*100/M639,4)</f>
        <v>0.0163</v>
      </c>
      <c r="R639" s="274" t="s">
        <v>562</v>
      </c>
      <c r="S639" s="832"/>
    </row>
    <row r="640" spans="1:19" ht="21" customHeight="1">
      <c r="A640" s="251"/>
      <c r="B640" s="251"/>
      <c r="C640" s="251"/>
      <c r="D640" s="251"/>
      <c r="E640" s="251"/>
      <c r="F640" s="251"/>
      <c r="G640" s="251"/>
      <c r="H640" s="251"/>
      <c r="I640" s="251"/>
      <c r="J640" s="251"/>
      <c r="K640" s="251"/>
      <c r="L640" s="251"/>
      <c r="M640" s="282" t="s">
        <v>823</v>
      </c>
      <c r="N640" s="251"/>
      <c r="O640" s="251" t="s">
        <v>784</v>
      </c>
      <c r="P640" s="251"/>
      <c r="Q640" s="283">
        <f>ROUND((Q635+Q636+Q637+Q638+Q639)/5,4)</f>
        <v>0.0575</v>
      </c>
      <c r="R640" s="274" t="s">
        <v>562</v>
      </c>
      <c r="S640" s="832"/>
    </row>
    <row r="641" spans="1:19" ht="21" customHeight="1">
      <c r="A641" s="251"/>
      <c r="B641" s="251" t="s">
        <v>249</v>
      </c>
      <c r="C641" s="253" t="s">
        <v>168</v>
      </c>
      <c r="D641" s="251"/>
      <c r="E641" s="251"/>
      <c r="F641" s="251"/>
      <c r="G641" s="251"/>
      <c r="H641" s="251"/>
      <c r="I641" s="251"/>
      <c r="J641" s="251"/>
      <c r="K641" s="251"/>
      <c r="L641" s="251"/>
      <c r="M641" s="251"/>
      <c r="N641" s="251"/>
      <c r="O641" s="251"/>
      <c r="P641" s="251"/>
      <c r="Q641" s="251"/>
      <c r="R641" s="251"/>
      <c r="S641" s="832"/>
    </row>
    <row r="642" spans="1:19" ht="21" customHeight="1">
      <c r="A642" s="251"/>
      <c r="B642" s="251"/>
      <c r="C642" s="251" t="s">
        <v>213</v>
      </c>
      <c r="D642" s="251"/>
      <c r="E642" s="251"/>
      <c r="F642" s="251"/>
      <c r="G642" s="251"/>
      <c r="H642" s="251"/>
      <c r="I642" s="251"/>
      <c r="J642" s="251"/>
      <c r="K642" s="251"/>
      <c r="L642" s="251"/>
      <c r="M642" s="251"/>
      <c r="N642" s="251"/>
      <c r="O642" s="251"/>
      <c r="P642" s="251"/>
      <c r="Q642" s="251"/>
      <c r="R642" s="251"/>
      <c r="S642" s="832"/>
    </row>
    <row r="643" spans="1:19" ht="21" customHeight="1">
      <c r="A643" s="251"/>
      <c r="B643" s="251"/>
      <c r="C643" s="251" t="s">
        <v>242</v>
      </c>
      <c r="D643" s="251"/>
      <c r="E643" s="284">
        <f>E629</f>
        <v>14.4</v>
      </c>
      <c r="F643" s="251"/>
      <c r="G643" s="268" t="s">
        <v>219</v>
      </c>
      <c r="H643" s="251"/>
      <c r="I643" s="251"/>
      <c r="J643" s="251"/>
      <c r="K643" s="251"/>
      <c r="L643" s="251"/>
      <c r="M643" s="251"/>
      <c r="N643" s="251"/>
      <c r="O643" s="251"/>
      <c r="P643" s="251"/>
      <c r="Q643" s="251"/>
      <c r="R643" s="251"/>
      <c r="S643" s="832"/>
    </row>
    <row r="644" spans="1:19" ht="21" customHeight="1">
      <c r="A644" s="251"/>
      <c r="B644" s="251"/>
      <c r="C644" s="251" t="s">
        <v>243</v>
      </c>
      <c r="D644" s="251"/>
      <c r="E644" s="284">
        <f>120/1000*3</f>
        <v>0.36</v>
      </c>
      <c r="F644" s="251"/>
      <c r="G644" s="251" t="s">
        <v>215</v>
      </c>
      <c r="H644" s="251"/>
      <c r="I644" s="251"/>
      <c r="J644" s="251"/>
      <c r="K644" s="251"/>
      <c r="L644" s="251"/>
      <c r="M644" s="251"/>
      <c r="N644" s="251"/>
      <c r="O644" s="251"/>
      <c r="P644" s="251"/>
      <c r="Q644" s="251"/>
      <c r="R644" s="251"/>
      <c r="S644" s="832"/>
    </row>
    <row r="645" spans="1:19" ht="21" customHeight="1">
      <c r="A645" s="251"/>
      <c r="B645" s="251" t="s">
        <v>562</v>
      </c>
      <c r="C645" s="251" t="s">
        <v>250</v>
      </c>
      <c r="D645" s="251"/>
      <c r="E645" s="285">
        <f>E644*30</f>
        <v>10.799999999999999</v>
      </c>
      <c r="F645" s="251"/>
      <c r="G645" s="251" t="s">
        <v>245</v>
      </c>
      <c r="H645" s="251"/>
      <c r="I645" s="251"/>
      <c r="J645" s="251"/>
      <c r="K645" s="251"/>
      <c r="L645" s="251"/>
      <c r="M645" s="251"/>
      <c r="N645" s="251"/>
      <c r="O645" s="251"/>
      <c r="P645" s="251"/>
      <c r="Q645" s="251"/>
      <c r="R645" s="251"/>
      <c r="S645" s="832"/>
    </row>
    <row r="646" spans="1:19" ht="21" customHeight="1">
      <c r="A646" s="251"/>
      <c r="B646" s="251" t="s">
        <v>562</v>
      </c>
      <c r="C646" s="251" t="s">
        <v>246</v>
      </c>
      <c r="D646" s="251"/>
      <c r="E646" s="286">
        <f>E645*E643</f>
        <v>155.51999999999998</v>
      </c>
      <c r="F646" s="251" t="s">
        <v>789</v>
      </c>
      <c r="G646" s="268" t="s">
        <v>247</v>
      </c>
      <c r="H646" s="251"/>
      <c r="I646" s="251"/>
      <c r="J646" s="251"/>
      <c r="K646" s="251"/>
      <c r="L646" s="251"/>
      <c r="M646" s="251"/>
      <c r="N646" s="251"/>
      <c r="O646" s="251"/>
      <c r="P646" s="251"/>
      <c r="Q646" s="251"/>
      <c r="R646" s="251"/>
      <c r="S646" s="832"/>
    </row>
    <row r="647" spans="1:19" ht="21" customHeight="1">
      <c r="A647" s="251"/>
      <c r="B647" s="272" t="s">
        <v>562</v>
      </c>
      <c r="C647" s="251" t="s">
        <v>142</v>
      </c>
      <c r="D647" s="251"/>
      <c r="E647" s="251"/>
      <c r="F647" s="251" t="s">
        <v>789</v>
      </c>
      <c r="G647" s="273">
        <f>E646</f>
        <v>155.51999999999998</v>
      </c>
      <c r="H647" s="251"/>
      <c r="I647" s="274" t="s">
        <v>787</v>
      </c>
      <c r="J647" s="251">
        <v>70</v>
      </c>
      <c r="K647" s="251"/>
      <c r="L647" s="274" t="s">
        <v>783</v>
      </c>
      <c r="M647" s="275">
        <v>100</v>
      </c>
      <c r="N647" s="251"/>
      <c r="O647" s="251" t="s">
        <v>784</v>
      </c>
      <c r="P647" s="251"/>
      <c r="Q647" s="276">
        <f>G647*J647/M647</f>
        <v>108.86399999999998</v>
      </c>
      <c r="R647" s="251"/>
      <c r="S647" s="832"/>
    </row>
    <row r="648" spans="1:19" ht="21" customHeight="1">
      <c r="A648" s="838" t="s">
        <v>251</v>
      </c>
      <c r="B648" s="838"/>
      <c r="C648" s="838"/>
      <c r="D648" s="838"/>
      <c r="E648" s="838"/>
      <c r="F648" s="838"/>
      <c r="G648" s="838"/>
      <c r="H648" s="838"/>
      <c r="I648" s="838"/>
      <c r="J648" s="838"/>
      <c r="K648" s="838"/>
      <c r="L648" s="838"/>
      <c r="M648" s="838"/>
      <c r="N648" s="838"/>
      <c r="O648" s="838"/>
      <c r="P648" s="838"/>
      <c r="Q648" s="838"/>
      <c r="R648" s="838"/>
      <c r="S648" s="832"/>
    </row>
    <row r="649" spans="1:19" ht="21" customHeight="1">
      <c r="A649" s="251"/>
      <c r="B649" s="251" t="s">
        <v>562</v>
      </c>
      <c r="C649" s="274" t="s">
        <v>479</v>
      </c>
      <c r="D649" s="274" t="s">
        <v>480</v>
      </c>
      <c r="E649" s="274"/>
      <c r="F649" s="251"/>
      <c r="G649" s="840" t="s">
        <v>778</v>
      </c>
      <c r="H649" s="840"/>
      <c r="I649" s="840"/>
      <c r="J649" s="840"/>
      <c r="K649" s="840"/>
      <c r="L649" s="840"/>
      <c r="M649" s="840"/>
      <c r="N649" s="840"/>
      <c r="O649" s="840"/>
      <c r="P649" s="840"/>
      <c r="Q649" s="840"/>
      <c r="R649" s="840"/>
      <c r="S649" s="832" t="s">
        <v>252</v>
      </c>
    </row>
    <row r="650" spans="1:19" ht="21" customHeight="1">
      <c r="A650" s="251"/>
      <c r="B650" s="272" t="s">
        <v>788</v>
      </c>
      <c r="C650" s="275">
        <v>10000001</v>
      </c>
      <c r="D650" s="278">
        <v>15</v>
      </c>
      <c r="E650" s="279" t="s">
        <v>821</v>
      </c>
      <c r="F650" s="251" t="s">
        <v>789</v>
      </c>
      <c r="G650" s="276">
        <f>Q647</f>
        <v>108.86399999999998</v>
      </c>
      <c r="H650" s="274" t="s">
        <v>787</v>
      </c>
      <c r="I650" s="274">
        <f>D650</f>
        <v>15</v>
      </c>
      <c r="J650" s="251" t="s">
        <v>248</v>
      </c>
      <c r="K650" s="251"/>
      <c r="L650" s="251" t="s">
        <v>783</v>
      </c>
      <c r="M650" s="280">
        <f>C650</f>
        <v>10000001</v>
      </c>
      <c r="N650" s="251"/>
      <c r="O650" s="251" t="s">
        <v>784</v>
      </c>
      <c r="P650" s="251"/>
      <c r="Q650" s="281">
        <f>ROUND(G650*D650*100/M650,4)</f>
        <v>0.0163</v>
      </c>
      <c r="R650" s="274" t="s">
        <v>562</v>
      </c>
      <c r="S650" s="833"/>
    </row>
    <row r="651" spans="1:19" ht="21" customHeight="1">
      <c r="A651" s="251"/>
      <c r="B651" s="251"/>
      <c r="C651" s="275">
        <v>15000000</v>
      </c>
      <c r="D651" s="278">
        <v>15</v>
      </c>
      <c r="E651" s="279" t="s">
        <v>821</v>
      </c>
      <c r="F651" s="251" t="s">
        <v>789</v>
      </c>
      <c r="G651" s="276">
        <f>Q647</f>
        <v>108.86399999999998</v>
      </c>
      <c r="H651" s="274" t="s">
        <v>787</v>
      </c>
      <c r="I651" s="274">
        <f>D651</f>
        <v>15</v>
      </c>
      <c r="J651" s="251" t="s">
        <v>248</v>
      </c>
      <c r="K651" s="251"/>
      <c r="L651" s="251" t="s">
        <v>783</v>
      </c>
      <c r="M651" s="280">
        <f>C651</f>
        <v>15000000</v>
      </c>
      <c r="N651" s="251"/>
      <c r="O651" s="251" t="s">
        <v>784</v>
      </c>
      <c r="P651" s="251"/>
      <c r="Q651" s="281">
        <f>ROUND(G651*D651*100/M651,4)</f>
        <v>0.0109</v>
      </c>
      <c r="R651" s="274" t="s">
        <v>562</v>
      </c>
      <c r="S651" s="833"/>
    </row>
    <row r="652" spans="1:19" ht="21" customHeight="1">
      <c r="A652" s="251"/>
      <c r="B652" s="251"/>
      <c r="C652" s="275">
        <v>20000000</v>
      </c>
      <c r="D652" s="278">
        <v>16</v>
      </c>
      <c r="E652" s="279" t="s">
        <v>821</v>
      </c>
      <c r="F652" s="251" t="s">
        <v>789</v>
      </c>
      <c r="G652" s="276">
        <f>Q647</f>
        <v>108.86399999999998</v>
      </c>
      <c r="H652" s="274" t="s">
        <v>787</v>
      </c>
      <c r="I652" s="274">
        <f>D652</f>
        <v>16</v>
      </c>
      <c r="J652" s="251" t="s">
        <v>248</v>
      </c>
      <c r="K652" s="251"/>
      <c r="L652" s="251" t="s">
        <v>783</v>
      </c>
      <c r="M652" s="280">
        <f>C652</f>
        <v>20000000</v>
      </c>
      <c r="N652" s="251"/>
      <c r="O652" s="251" t="s">
        <v>784</v>
      </c>
      <c r="P652" s="251"/>
      <c r="Q652" s="281">
        <f>ROUND(G652*D652*100/M652,4)</f>
        <v>0.0087</v>
      </c>
      <c r="R652" s="274" t="s">
        <v>562</v>
      </c>
      <c r="S652" s="833"/>
    </row>
    <row r="653" spans="1:19" ht="21" customHeight="1">
      <c r="A653" s="251"/>
      <c r="B653" s="251"/>
      <c r="C653" s="275">
        <v>25000000</v>
      </c>
      <c r="D653" s="278">
        <v>16</v>
      </c>
      <c r="E653" s="279" t="s">
        <v>821</v>
      </c>
      <c r="F653" s="251" t="s">
        <v>789</v>
      </c>
      <c r="G653" s="276">
        <f>Q647</f>
        <v>108.86399999999998</v>
      </c>
      <c r="H653" s="274" t="s">
        <v>787</v>
      </c>
      <c r="I653" s="274">
        <f>D653</f>
        <v>16</v>
      </c>
      <c r="J653" s="251" t="s">
        <v>248</v>
      </c>
      <c r="K653" s="251"/>
      <c r="L653" s="251" t="s">
        <v>783</v>
      </c>
      <c r="M653" s="280">
        <f>C653</f>
        <v>25000000</v>
      </c>
      <c r="N653" s="251"/>
      <c r="O653" s="251" t="s">
        <v>784</v>
      </c>
      <c r="P653" s="251"/>
      <c r="Q653" s="281">
        <f>ROUND(G653*D653*100/M653,4)</f>
        <v>0.007</v>
      </c>
      <c r="R653" s="274" t="s">
        <v>562</v>
      </c>
      <c r="S653" s="833"/>
    </row>
    <row r="654" spans="1:19" ht="21" customHeight="1">
      <c r="A654" s="251"/>
      <c r="B654" s="251"/>
      <c r="C654" s="251"/>
      <c r="D654" s="251"/>
      <c r="E654" s="251"/>
      <c r="F654" s="251"/>
      <c r="G654" s="251"/>
      <c r="H654" s="251"/>
      <c r="I654" s="251"/>
      <c r="J654" s="251"/>
      <c r="K654" s="251"/>
      <c r="L654" s="251"/>
      <c r="M654" s="282" t="s">
        <v>823</v>
      </c>
      <c r="N654" s="251"/>
      <c r="O654" s="251" t="s">
        <v>784</v>
      </c>
      <c r="P654" s="251"/>
      <c r="Q654" s="283">
        <f>ROUND((Q650+Q651+Q652+Q653)/4,4)</f>
        <v>0.0107</v>
      </c>
      <c r="R654" s="251"/>
      <c r="S654" s="833"/>
    </row>
    <row r="655" spans="1:19" ht="21" customHeight="1">
      <c r="A655" s="251"/>
      <c r="B655" s="251" t="s">
        <v>253</v>
      </c>
      <c r="C655" s="253" t="s">
        <v>172</v>
      </c>
      <c r="D655" s="251"/>
      <c r="E655" s="251"/>
      <c r="F655" s="251"/>
      <c r="G655" s="251"/>
      <c r="H655" s="251"/>
      <c r="I655" s="251"/>
      <c r="J655" s="251"/>
      <c r="K655" s="251"/>
      <c r="L655" s="251"/>
      <c r="M655" s="251"/>
      <c r="N655" s="251"/>
      <c r="O655" s="251"/>
      <c r="P655" s="251"/>
      <c r="Q655" s="251"/>
      <c r="R655" s="251"/>
      <c r="S655" s="833"/>
    </row>
    <row r="656" spans="1:19" ht="21" customHeight="1">
      <c r="A656" s="251"/>
      <c r="B656" s="251"/>
      <c r="C656" s="251" t="s">
        <v>213</v>
      </c>
      <c r="D656" s="251"/>
      <c r="E656" s="251"/>
      <c r="F656" s="251"/>
      <c r="G656" s="251"/>
      <c r="H656" s="251"/>
      <c r="I656" s="251"/>
      <c r="J656" s="251"/>
      <c r="K656" s="251"/>
      <c r="L656" s="251"/>
      <c r="M656" s="251"/>
      <c r="N656" s="251"/>
      <c r="O656" s="251"/>
      <c r="P656" s="251"/>
      <c r="Q656" s="251"/>
      <c r="R656" s="251"/>
      <c r="S656" s="833"/>
    </row>
    <row r="657" spans="1:19" ht="21" customHeight="1">
      <c r="A657" s="251"/>
      <c r="B657" s="251"/>
      <c r="C657" s="251" t="s">
        <v>218</v>
      </c>
      <c r="D657" s="251"/>
      <c r="E657" s="287">
        <f>E629</f>
        <v>14.4</v>
      </c>
      <c r="F657" s="251"/>
      <c r="G657" s="268" t="s">
        <v>219</v>
      </c>
      <c r="H657" s="251"/>
      <c r="I657" s="251"/>
      <c r="J657" s="251"/>
      <c r="K657" s="251"/>
      <c r="L657" s="251"/>
      <c r="M657" s="251"/>
      <c r="N657" s="251"/>
      <c r="O657" s="251"/>
      <c r="P657" s="251"/>
      <c r="Q657" s="251"/>
      <c r="R657" s="251"/>
      <c r="S657" s="833"/>
    </row>
    <row r="658" spans="1:19" ht="21" customHeight="1">
      <c r="A658" s="251"/>
      <c r="B658" s="251"/>
      <c r="C658" s="251" t="s">
        <v>254</v>
      </c>
      <c r="D658" s="251"/>
      <c r="E658" s="286">
        <f>120/1000*4</f>
        <v>0.48</v>
      </c>
      <c r="F658" s="251"/>
      <c r="G658" s="251" t="s">
        <v>215</v>
      </c>
      <c r="H658" s="251"/>
      <c r="I658" s="251"/>
      <c r="J658" s="251"/>
      <c r="K658" s="251"/>
      <c r="L658" s="251"/>
      <c r="M658" s="251"/>
      <c r="N658" s="251"/>
      <c r="O658" s="251"/>
      <c r="P658" s="251"/>
      <c r="Q658" s="251"/>
      <c r="R658" s="251"/>
      <c r="S658" s="833"/>
    </row>
    <row r="659" spans="1:19" ht="21" customHeight="1">
      <c r="A659" s="251"/>
      <c r="B659" s="251"/>
      <c r="C659" s="251" t="s">
        <v>255</v>
      </c>
      <c r="D659" s="251"/>
      <c r="E659" s="285">
        <f>E658*30</f>
        <v>14.399999999999999</v>
      </c>
      <c r="F659" s="251"/>
      <c r="G659" s="251" t="s">
        <v>245</v>
      </c>
      <c r="H659" s="251"/>
      <c r="I659" s="251"/>
      <c r="J659" s="251"/>
      <c r="K659" s="251"/>
      <c r="L659" s="251"/>
      <c r="M659" s="251"/>
      <c r="N659" s="251"/>
      <c r="O659" s="251"/>
      <c r="P659" s="251"/>
      <c r="Q659" s="251"/>
      <c r="R659" s="251"/>
      <c r="S659" s="833"/>
    </row>
    <row r="660" spans="1:19" ht="21" customHeight="1">
      <c r="A660" s="251"/>
      <c r="B660" s="251"/>
      <c r="C660" s="251" t="s">
        <v>256</v>
      </c>
      <c r="D660" s="251"/>
      <c r="E660" s="286">
        <f>E659*E657</f>
        <v>207.35999999999999</v>
      </c>
      <c r="F660" s="251" t="s">
        <v>789</v>
      </c>
      <c r="G660" s="268" t="s">
        <v>247</v>
      </c>
      <c r="H660" s="251"/>
      <c r="I660" s="251"/>
      <c r="J660" s="251"/>
      <c r="K660" s="251"/>
      <c r="L660" s="251"/>
      <c r="M660" s="251"/>
      <c r="N660" s="251"/>
      <c r="O660" s="251"/>
      <c r="P660" s="251"/>
      <c r="Q660" s="251"/>
      <c r="R660" s="251"/>
      <c r="S660" s="833"/>
    </row>
    <row r="661" spans="1:19" ht="21" customHeight="1">
      <c r="A661" s="251"/>
      <c r="B661" s="251"/>
      <c r="C661" s="251" t="s">
        <v>142</v>
      </c>
      <c r="D661" s="251"/>
      <c r="E661" s="251"/>
      <c r="F661" s="251" t="s">
        <v>789</v>
      </c>
      <c r="G661" s="273">
        <f>E660</f>
        <v>207.35999999999999</v>
      </c>
      <c r="H661" s="251"/>
      <c r="I661" s="274" t="s">
        <v>787</v>
      </c>
      <c r="J661" s="251">
        <v>70</v>
      </c>
      <c r="K661" s="251"/>
      <c r="L661" s="274" t="s">
        <v>783</v>
      </c>
      <c r="M661" s="275">
        <v>100</v>
      </c>
      <c r="N661" s="251"/>
      <c r="O661" s="251" t="s">
        <v>784</v>
      </c>
      <c r="P661" s="251"/>
      <c r="Q661" s="276">
        <f>G661*J661/M661</f>
        <v>145.152</v>
      </c>
      <c r="R661" s="251"/>
      <c r="S661" s="833"/>
    </row>
    <row r="662" spans="1:19" ht="21" customHeight="1">
      <c r="A662" s="251"/>
      <c r="B662" s="251" t="s">
        <v>562</v>
      </c>
      <c r="C662" s="274" t="s">
        <v>479</v>
      </c>
      <c r="D662" s="274" t="s">
        <v>480</v>
      </c>
      <c r="E662" s="274"/>
      <c r="F662" s="251"/>
      <c r="G662" s="840" t="s">
        <v>778</v>
      </c>
      <c r="H662" s="840"/>
      <c r="I662" s="840"/>
      <c r="J662" s="840"/>
      <c r="K662" s="840"/>
      <c r="L662" s="840"/>
      <c r="M662" s="840"/>
      <c r="N662" s="840"/>
      <c r="O662" s="840"/>
      <c r="P662" s="840"/>
      <c r="Q662" s="840"/>
      <c r="R662" s="840"/>
      <c r="S662" s="833"/>
    </row>
    <row r="663" spans="1:19" ht="21" customHeight="1">
      <c r="A663" s="251"/>
      <c r="B663" s="272" t="s">
        <v>788</v>
      </c>
      <c r="C663" s="275">
        <v>25000001</v>
      </c>
      <c r="D663" s="278">
        <v>16</v>
      </c>
      <c r="E663" s="279" t="s">
        <v>821</v>
      </c>
      <c r="F663" s="251" t="s">
        <v>789</v>
      </c>
      <c r="G663" s="276">
        <f>Q661</f>
        <v>145.152</v>
      </c>
      <c r="H663" s="274" t="s">
        <v>787</v>
      </c>
      <c r="I663" s="274">
        <f>D663</f>
        <v>16</v>
      </c>
      <c r="J663" s="251" t="s">
        <v>248</v>
      </c>
      <c r="K663" s="251"/>
      <c r="L663" s="251" t="s">
        <v>783</v>
      </c>
      <c r="M663" s="280">
        <f>C663</f>
        <v>25000001</v>
      </c>
      <c r="N663" s="251"/>
      <c r="O663" s="251" t="s">
        <v>784</v>
      </c>
      <c r="P663" s="251"/>
      <c r="Q663" s="281">
        <f>ROUND(G663*D663*100/M663,4)</f>
        <v>0.0093</v>
      </c>
      <c r="R663" s="274" t="s">
        <v>562</v>
      </c>
      <c r="S663" s="833"/>
    </row>
    <row r="664" spans="1:19" ht="21" customHeight="1">
      <c r="A664" s="251"/>
      <c r="B664" s="251"/>
      <c r="C664" s="275">
        <v>30000000</v>
      </c>
      <c r="D664" s="278">
        <v>17</v>
      </c>
      <c r="E664" s="279" t="s">
        <v>821</v>
      </c>
      <c r="F664" s="251" t="s">
        <v>789</v>
      </c>
      <c r="G664" s="276">
        <f>Q661</f>
        <v>145.152</v>
      </c>
      <c r="H664" s="274" t="s">
        <v>787</v>
      </c>
      <c r="I664" s="274">
        <f>D664</f>
        <v>17</v>
      </c>
      <c r="J664" s="251" t="s">
        <v>248</v>
      </c>
      <c r="K664" s="251"/>
      <c r="L664" s="251" t="s">
        <v>783</v>
      </c>
      <c r="M664" s="280">
        <f>C664</f>
        <v>30000000</v>
      </c>
      <c r="N664" s="251"/>
      <c r="O664" s="251" t="s">
        <v>784</v>
      </c>
      <c r="P664" s="251"/>
      <c r="Q664" s="281">
        <f>ROUND(G664*D664*100/M664,4)</f>
        <v>0.0082</v>
      </c>
      <c r="R664" s="274" t="s">
        <v>562</v>
      </c>
      <c r="S664" s="833"/>
    </row>
    <row r="665" spans="1:19" ht="21" customHeight="1">
      <c r="A665" s="251"/>
      <c r="B665" s="251"/>
      <c r="C665" s="275">
        <v>40000000</v>
      </c>
      <c r="D665" s="278">
        <v>17</v>
      </c>
      <c r="E665" s="279" t="s">
        <v>821</v>
      </c>
      <c r="F665" s="251" t="s">
        <v>789</v>
      </c>
      <c r="G665" s="276">
        <f>Q661</f>
        <v>145.152</v>
      </c>
      <c r="H665" s="274" t="s">
        <v>787</v>
      </c>
      <c r="I665" s="274">
        <f>D665</f>
        <v>17</v>
      </c>
      <c r="J665" s="251" t="s">
        <v>248</v>
      </c>
      <c r="K665" s="251"/>
      <c r="L665" s="251" t="s">
        <v>783</v>
      </c>
      <c r="M665" s="280">
        <f>C665</f>
        <v>40000000</v>
      </c>
      <c r="N665" s="251"/>
      <c r="O665" s="251" t="s">
        <v>784</v>
      </c>
      <c r="P665" s="251"/>
      <c r="Q665" s="281">
        <f>ROUND(G665*D665*100/M665,4)</f>
        <v>0.0062</v>
      </c>
      <c r="R665" s="274" t="s">
        <v>562</v>
      </c>
      <c r="S665" s="833"/>
    </row>
    <row r="666" spans="1:19" ht="21" customHeight="1">
      <c r="A666" s="251"/>
      <c r="B666" s="251"/>
      <c r="C666" s="275">
        <v>50000000</v>
      </c>
      <c r="D666" s="278">
        <v>18</v>
      </c>
      <c r="E666" s="279" t="s">
        <v>821</v>
      </c>
      <c r="F666" s="251" t="s">
        <v>789</v>
      </c>
      <c r="G666" s="276">
        <f>Q661</f>
        <v>145.152</v>
      </c>
      <c r="H666" s="274" t="s">
        <v>787</v>
      </c>
      <c r="I666" s="274">
        <f>D666</f>
        <v>18</v>
      </c>
      <c r="J666" s="251" t="s">
        <v>248</v>
      </c>
      <c r="K666" s="251"/>
      <c r="L666" s="251" t="s">
        <v>783</v>
      </c>
      <c r="M666" s="280">
        <f>C666</f>
        <v>50000000</v>
      </c>
      <c r="N666" s="251"/>
      <c r="O666" s="251" t="s">
        <v>784</v>
      </c>
      <c r="P666" s="251"/>
      <c r="Q666" s="281">
        <f>ROUND(G666*D666*100/M666,4)</f>
        <v>0.0052</v>
      </c>
      <c r="R666" s="274" t="s">
        <v>562</v>
      </c>
      <c r="S666" s="833"/>
    </row>
    <row r="667" spans="1:19" ht="21" customHeight="1">
      <c r="A667" s="251"/>
      <c r="B667" s="251"/>
      <c r="C667" s="251"/>
      <c r="D667" s="251"/>
      <c r="E667" s="251"/>
      <c r="F667" s="251"/>
      <c r="G667" s="251"/>
      <c r="H667" s="251"/>
      <c r="I667" s="251"/>
      <c r="J667" s="251"/>
      <c r="K667" s="251"/>
      <c r="L667" s="251"/>
      <c r="M667" s="282" t="s">
        <v>823</v>
      </c>
      <c r="N667" s="251"/>
      <c r="O667" s="251" t="s">
        <v>784</v>
      </c>
      <c r="P667" s="251"/>
      <c r="Q667" s="283">
        <f>ROUND((Q663+Q664+Q665+Q666)/4,4)</f>
        <v>0.0072</v>
      </c>
      <c r="R667" s="251"/>
      <c r="S667" s="833"/>
    </row>
    <row r="668" spans="1:19" ht="21" customHeight="1">
      <c r="A668" s="251"/>
      <c r="B668" s="251" t="s">
        <v>257</v>
      </c>
      <c r="C668" s="253" t="s">
        <v>181</v>
      </c>
      <c r="D668" s="251"/>
      <c r="E668" s="251"/>
      <c r="F668" s="251"/>
      <c r="G668" s="251"/>
      <c r="H668" s="251"/>
      <c r="I668" s="251"/>
      <c r="J668" s="251"/>
      <c r="K668" s="251"/>
      <c r="L668" s="251"/>
      <c r="M668" s="251"/>
      <c r="N668" s="251"/>
      <c r="O668" s="251"/>
      <c r="P668" s="251"/>
      <c r="Q668" s="251"/>
      <c r="R668" s="251"/>
      <c r="S668" s="833"/>
    </row>
    <row r="669" spans="1:19" ht="21" customHeight="1">
      <c r="A669" s="251"/>
      <c r="B669" s="251"/>
      <c r="C669" s="251" t="s">
        <v>213</v>
      </c>
      <c r="D669" s="251"/>
      <c r="E669" s="251"/>
      <c r="F669" s="251"/>
      <c r="G669" s="251"/>
      <c r="H669" s="251"/>
      <c r="I669" s="251"/>
      <c r="J669" s="251"/>
      <c r="K669" s="251"/>
      <c r="L669" s="251"/>
      <c r="M669" s="251"/>
      <c r="N669" s="251"/>
      <c r="O669" s="251"/>
      <c r="P669" s="251"/>
      <c r="Q669" s="251"/>
      <c r="R669" s="251"/>
      <c r="S669" s="833"/>
    </row>
    <row r="670" spans="1:19" ht="21" customHeight="1">
      <c r="A670" s="251"/>
      <c r="B670" s="251"/>
      <c r="C670" s="251" t="s">
        <v>218</v>
      </c>
      <c r="D670" s="251"/>
      <c r="E670" s="287">
        <f>E629</f>
        <v>14.4</v>
      </c>
      <c r="F670" s="251"/>
      <c r="G670" s="268" t="s">
        <v>219</v>
      </c>
      <c r="H670" s="251"/>
      <c r="I670" s="251"/>
      <c r="J670" s="251"/>
      <c r="K670" s="251"/>
      <c r="L670" s="251"/>
      <c r="M670" s="251"/>
      <c r="N670" s="251"/>
      <c r="O670" s="251"/>
      <c r="P670" s="251"/>
      <c r="Q670" s="251"/>
      <c r="R670" s="251"/>
      <c r="S670" s="833"/>
    </row>
    <row r="671" spans="1:19" ht="21" customHeight="1">
      <c r="A671" s="251"/>
      <c r="B671" s="251"/>
      <c r="C671" s="251" t="s">
        <v>258</v>
      </c>
      <c r="D671" s="251"/>
      <c r="E671" s="286">
        <v>0.48</v>
      </c>
      <c r="F671" s="251"/>
      <c r="G671" s="251" t="s">
        <v>215</v>
      </c>
      <c r="H671" s="251"/>
      <c r="I671" s="251"/>
      <c r="J671" s="251"/>
      <c r="K671" s="251"/>
      <c r="L671" s="251"/>
      <c r="M671" s="251"/>
      <c r="N671" s="251"/>
      <c r="O671" s="251"/>
      <c r="P671" s="251"/>
      <c r="Q671" s="251"/>
      <c r="R671" s="251"/>
      <c r="S671" s="833"/>
    </row>
    <row r="672" spans="1:19" ht="21" customHeight="1">
      <c r="A672" s="251"/>
      <c r="B672" s="251"/>
      <c r="C672" s="251" t="s">
        <v>255</v>
      </c>
      <c r="D672" s="251"/>
      <c r="E672" s="285">
        <f>E671*30</f>
        <v>14.399999999999999</v>
      </c>
      <c r="F672" s="251"/>
      <c r="G672" s="251" t="s">
        <v>245</v>
      </c>
      <c r="H672" s="251"/>
      <c r="I672" s="251"/>
      <c r="J672" s="251"/>
      <c r="K672" s="251"/>
      <c r="L672" s="251"/>
      <c r="M672" s="251"/>
      <c r="N672" s="251"/>
      <c r="O672" s="251"/>
      <c r="P672" s="251"/>
      <c r="Q672" s="251"/>
      <c r="R672" s="251"/>
      <c r="S672" s="833"/>
    </row>
    <row r="673" spans="1:19" ht="21" customHeight="1">
      <c r="A673" s="251"/>
      <c r="B673" s="251"/>
      <c r="C673" s="251" t="s">
        <v>256</v>
      </c>
      <c r="D673" s="251"/>
      <c r="E673" s="286">
        <f>E672*E670</f>
        <v>207.35999999999999</v>
      </c>
      <c r="F673" s="251" t="s">
        <v>789</v>
      </c>
      <c r="G673" s="268" t="s">
        <v>247</v>
      </c>
      <c r="H673" s="251"/>
      <c r="I673" s="251"/>
      <c r="J673" s="251"/>
      <c r="K673" s="251"/>
      <c r="L673" s="251"/>
      <c r="M673" s="251"/>
      <c r="N673" s="251"/>
      <c r="O673" s="251"/>
      <c r="P673" s="251"/>
      <c r="Q673" s="251"/>
      <c r="R673" s="251"/>
      <c r="S673" s="833"/>
    </row>
    <row r="674" spans="1:19" ht="21" customHeight="1">
      <c r="A674" s="251"/>
      <c r="B674" s="251"/>
      <c r="C674" s="251" t="s">
        <v>142</v>
      </c>
      <c r="D674" s="251"/>
      <c r="E674" s="251"/>
      <c r="F674" s="251" t="s">
        <v>789</v>
      </c>
      <c r="G674" s="273">
        <f>E673</f>
        <v>207.35999999999999</v>
      </c>
      <c r="H674" s="251"/>
      <c r="I674" s="274" t="s">
        <v>787</v>
      </c>
      <c r="J674" s="251">
        <v>70</v>
      </c>
      <c r="K674" s="251"/>
      <c r="L674" s="274" t="s">
        <v>783</v>
      </c>
      <c r="M674" s="275">
        <v>100</v>
      </c>
      <c r="N674" s="251"/>
      <c r="O674" s="251" t="s">
        <v>784</v>
      </c>
      <c r="P674" s="251"/>
      <c r="Q674" s="276">
        <f>G674*J674/M674</f>
        <v>145.152</v>
      </c>
      <c r="R674" s="251"/>
      <c r="S674" s="833"/>
    </row>
    <row r="675" spans="1:19" ht="21" customHeight="1">
      <c r="A675" s="838" t="s">
        <v>259</v>
      </c>
      <c r="B675" s="838"/>
      <c r="C675" s="838"/>
      <c r="D675" s="838"/>
      <c r="E675" s="838"/>
      <c r="F675" s="838"/>
      <c r="G675" s="838"/>
      <c r="H675" s="838"/>
      <c r="I675" s="838"/>
      <c r="J675" s="838"/>
      <c r="K675" s="838"/>
      <c r="L675" s="838"/>
      <c r="M675" s="838"/>
      <c r="N675" s="838"/>
      <c r="O675" s="838"/>
      <c r="P675" s="838"/>
      <c r="Q675" s="838"/>
      <c r="R675" s="838"/>
      <c r="S675" s="833"/>
    </row>
    <row r="676" spans="1:19" ht="21" customHeight="1">
      <c r="A676" s="251"/>
      <c r="B676" s="251" t="s">
        <v>562</v>
      </c>
      <c r="C676" s="251" t="s">
        <v>562</v>
      </c>
      <c r="D676" s="251" t="s">
        <v>562</v>
      </c>
      <c r="E676" s="251" t="s">
        <v>562</v>
      </c>
      <c r="F676" s="251" t="s">
        <v>562</v>
      </c>
      <c r="G676" s="251" t="s">
        <v>562</v>
      </c>
      <c r="H676" s="251" t="s">
        <v>562</v>
      </c>
      <c r="I676" s="251" t="s">
        <v>562</v>
      </c>
      <c r="J676" s="251" t="s">
        <v>562</v>
      </c>
      <c r="K676" s="251" t="s">
        <v>562</v>
      </c>
      <c r="L676" s="251" t="s">
        <v>562</v>
      </c>
      <c r="M676" s="251" t="s">
        <v>562</v>
      </c>
      <c r="N676" s="251" t="s">
        <v>562</v>
      </c>
      <c r="O676" s="251" t="s">
        <v>562</v>
      </c>
      <c r="P676" s="251" t="s">
        <v>562</v>
      </c>
      <c r="Q676" s="251" t="s">
        <v>562</v>
      </c>
      <c r="R676" s="251" t="s">
        <v>562</v>
      </c>
      <c r="S676" s="832" t="s">
        <v>260</v>
      </c>
    </row>
    <row r="677" spans="1:19" ht="21" customHeight="1">
      <c r="A677" s="251"/>
      <c r="B677" s="251" t="s">
        <v>562</v>
      </c>
      <c r="C677" s="274" t="s">
        <v>479</v>
      </c>
      <c r="D677" s="274" t="s">
        <v>480</v>
      </c>
      <c r="E677" s="274"/>
      <c r="F677" s="251"/>
      <c r="G677" s="840" t="s">
        <v>778</v>
      </c>
      <c r="H677" s="840"/>
      <c r="I677" s="840"/>
      <c r="J677" s="840"/>
      <c r="K677" s="840"/>
      <c r="L677" s="840"/>
      <c r="M677" s="840"/>
      <c r="N677" s="840"/>
      <c r="O677" s="840"/>
      <c r="P677" s="840"/>
      <c r="Q677" s="840"/>
      <c r="R677" s="840"/>
      <c r="S677" s="833"/>
    </row>
    <row r="678" spans="1:19" ht="21" customHeight="1">
      <c r="A678" s="251"/>
      <c r="B678" s="272" t="s">
        <v>788</v>
      </c>
      <c r="C678" s="275">
        <v>50000001</v>
      </c>
      <c r="D678" s="286">
        <v>18</v>
      </c>
      <c r="E678" s="279" t="s">
        <v>821</v>
      </c>
      <c r="F678" s="251" t="s">
        <v>789</v>
      </c>
      <c r="G678" s="276">
        <f>Q674</f>
        <v>145.152</v>
      </c>
      <c r="H678" s="274" t="s">
        <v>787</v>
      </c>
      <c r="I678" s="274">
        <f aca="true" t="shared" si="17" ref="I678:I683">D678</f>
        <v>18</v>
      </c>
      <c r="J678" s="251" t="s">
        <v>248</v>
      </c>
      <c r="K678" s="251"/>
      <c r="L678" s="251" t="s">
        <v>783</v>
      </c>
      <c r="M678" s="280">
        <f aca="true" t="shared" si="18" ref="M678:M683">C678</f>
        <v>50000001</v>
      </c>
      <c r="N678" s="251"/>
      <c r="O678" s="251" t="s">
        <v>784</v>
      </c>
      <c r="P678" s="251"/>
      <c r="Q678" s="281">
        <f aca="true" t="shared" si="19" ref="Q678:Q683">ROUND(G678*D678*100/M678,4)</f>
        <v>0.0052</v>
      </c>
      <c r="R678" s="274" t="s">
        <v>562</v>
      </c>
      <c r="S678" s="833"/>
    </row>
    <row r="679" spans="1:19" ht="21" customHeight="1">
      <c r="A679" s="251"/>
      <c r="B679" s="251"/>
      <c r="C679" s="275">
        <v>60000000</v>
      </c>
      <c r="D679" s="286">
        <v>18</v>
      </c>
      <c r="E679" s="279" t="s">
        <v>821</v>
      </c>
      <c r="F679" s="251" t="s">
        <v>789</v>
      </c>
      <c r="G679" s="276">
        <f>Q674</f>
        <v>145.152</v>
      </c>
      <c r="H679" s="274" t="s">
        <v>787</v>
      </c>
      <c r="I679" s="274">
        <f t="shared" si="17"/>
        <v>18</v>
      </c>
      <c r="J679" s="251" t="s">
        <v>248</v>
      </c>
      <c r="K679" s="251"/>
      <c r="L679" s="251" t="s">
        <v>783</v>
      </c>
      <c r="M679" s="280">
        <f t="shared" si="18"/>
        <v>60000000</v>
      </c>
      <c r="N679" s="251"/>
      <c r="O679" s="251" t="s">
        <v>784</v>
      </c>
      <c r="P679" s="251"/>
      <c r="Q679" s="281">
        <f t="shared" si="19"/>
        <v>0.0044</v>
      </c>
      <c r="R679" s="274" t="s">
        <v>562</v>
      </c>
      <c r="S679" s="833"/>
    </row>
    <row r="680" spans="1:19" ht="21" customHeight="1">
      <c r="A680" s="251"/>
      <c r="B680" s="251"/>
      <c r="C680" s="275">
        <v>70000000</v>
      </c>
      <c r="D680" s="286">
        <v>20</v>
      </c>
      <c r="E680" s="279" t="s">
        <v>821</v>
      </c>
      <c r="F680" s="251" t="s">
        <v>789</v>
      </c>
      <c r="G680" s="276">
        <f>Q674</f>
        <v>145.152</v>
      </c>
      <c r="H680" s="274" t="s">
        <v>787</v>
      </c>
      <c r="I680" s="274">
        <f t="shared" si="17"/>
        <v>20</v>
      </c>
      <c r="J680" s="251" t="s">
        <v>248</v>
      </c>
      <c r="K680" s="251"/>
      <c r="L680" s="251" t="s">
        <v>783</v>
      </c>
      <c r="M680" s="280">
        <f t="shared" si="18"/>
        <v>70000000</v>
      </c>
      <c r="N680" s="251"/>
      <c r="O680" s="251" t="s">
        <v>784</v>
      </c>
      <c r="P680" s="251"/>
      <c r="Q680" s="281">
        <f t="shared" si="19"/>
        <v>0.0041</v>
      </c>
      <c r="R680" s="274" t="s">
        <v>562</v>
      </c>
      <c r="S680" s="833"/>
    </row>
    <row r="681" spans="1:19" ht="21" customHeight="1">
      <c r="A681" s="251"/>
      <c r="B681" s="251"/>
      <c r="C681" s="275">
        <v>80000000</v>
      </c>
      <c r="D681" s="286">
        <v>20</v>
      </c>
      <c r="E681" s="279" t="s">
        <v>821</v>
      </c>
      <c r="F681" s="251" t="s">
        <v>789</v>
      </c>
      <c r="G681" s="276">
        <f>Q674</f>
        <v>145.152</v>
      </c>
      <c r="H681" s="274" t="s">
        <v>787</v>
      </c>
      <c r="I681" s="274">
        <f t="shared" si="17"/>
        <v>20</v>
      </c>
      <c r="J681" s="251" t="s">
        <v>248</v>
      </c>
      <c r="K681" s="251"/>
      <c r="L681" s="251" t="s">
        <v>783</v>
      </c>
      <c r="M681" s="280">
        <f t="shared" si="18"/>
        <v>80000000</v>
      </c>
      <c r="N681" s="251"/>
      <c r="O681" s="251" t="s">
        <v>784</v>
      </c>
      <c r="P681" s="251"/>
      <c r="Q681" s="281">
        <f t="shared" si="19"/>
        <v>0.0036</v>
      </c>
      <c r="R681" s="274" t="s">
        <v>562</v>
      </c>
      <c r="S681" s="833"/>
    </row>
    <row r="682" spans="1:19" ht="21" customHeight="1">
      <c r="A682" s="251"/>
      <c r="B682" s="251"/>
      <c r="C682" s="275">
        <v>90000000</v>
      </c>
      <c r="D682" s="286">
        <v>20</v>
      </c>
      <c r="E682" s="279" t="s">
        <v>821</v>
      </c>
      <c r="F682" s="251" t="s">
        <v>789</v>
      </c>
      <c r="G682" s="276">
        <f>Q674</f>
        <v>145.152</v>
      </c>
      <c r="H682" s="274" t="s">
        <v>787</v>
      </c>
      <c r="I682" s="274">
        <f t="shared" si="17"/>
        <v>20</v>
      </c>
      <c r="J682" s="251" t="s">
        <v>248</v>
      </c>
      <c r="K682" s="251"/>
      <c r="L682" s="251" t="s">
        <v>783</v>
      </c>
      <c r="M682" s="280">
        <f t="shared" si="18"/>
        <v>90000000</v>
      </c>
      <c r="N682" s="251"/>
      <c r="O682" s="251" t="s">
        <v>784</v>
      </c>
      <c r="P682" s="251"/>
      <c r="Q682" s="281">
        <f t="shared" si="19"/>
        <v>0.0032</v>
      </c>
      <c r="R682" s="274" t="s">
        <v>562</v>
      </c>
      <c r="S682" s="833"/>
    </row>
    <row r="683" spans="1:19" ht="21" customHeight="1">
      <c r="A683" s="251"/>
      <c r="B683" s="251"/>
      <c r="C683" s="275">
        <v>100000000</v>
      </c>
      <c r="D683" s="286">
        <v>20</v>
      </c>
      <c r="E683" s="279" t="s">
        <v>821</v>
      </c>
      <c r="F683" s="251" t="s">
        <v>789</v>
      </c>
      <c r="G683" s="276">
        <f>Q674</f>
        <v>145.152</v>
      </c>
      <c r="H683" s="274" t="s">
        <v>787</v>
      </c>
      <c r="I683" s="274">
        <f t="shared" si="17"/>
        <v>20</v>
      </c>
      <c r="J683" s="251" t="s">
        <v>248</v>
      </c>
      <c r="K683" s="251"/>
      <c r="L683" s="251" t="s">
        <v>783</v>
      </c>
      <c r="M683" s="280">
        <f t="shared" si="18"/>
        <v>100000000</v>
      </c>
      <c r="N683" s="251"/>
      <c r="O683" s="251" t="s">
        <v>784</v>
      </c>
      <c r="P683" s="251"/>
      <c r="Q683" s="281">
        <f t="shared" si="19"/>
        <v>0.0029</v>
      </c>
      <c r="R683" s="274" t="s">
        <v>562</v>
      </c>
      <c r="S683" s="833"/>
    </row>
    <row r="684" spans="1:19" ht="21" customHeight="1">
      <c r="A684" s="251"/>
      <c r="B684" s="251"/>
      <c r="C684" s="251"/>
      <c r="D684" s="251"/>
      <c r="E684" s="251"/>
      <c r="F684" s="251"/>
      <c r="G684" s="251"/>
      <c r="H684" s="251"/>
      <c r="I684" s="251"/>
      <c r="J684" s="251"/>
      <c r="K684" s="251"/>
      <c r="L684" s="251"/>
      <c r="M684" s="282" t="s">
        <v>823</v>
      </c>
      <c r="N684" s="251"/>
      <c r="O684" s="251" t="s">
        <v>784</v>
      </c>
      <c r="P684" s="251"/>
      <c r="Q684" s="283">
        <f>ROUND((Q678+Q679+Q680+Q681+Q682+Q683)/6,4)</f>
        <v>0.0039</v>
      </c>
      <c r="R684" s="251"/>
      <c r="S684" s="833"/>
    </row>
    <row r="685" spans="1:19" ht="21" customHeight="1">
      <c r="A685" s="251"/>
      <c r="B685" s="251" t="s">
        <v>261</v>
      </c>
      <c r="C685" s="253" t="s">
        <v>185</v>
      </c>
      <c r="D685" s="251"/>
      <c r="E685" s="251"/>
      <c r="F685" s="251"/>
      <c r="G685" s="251"/>
      <c r="H685" s="251"/>
      <c r="I685" s="251"/>
      <c r="J685" s="251"/>
      <c r="K685" s="251"/>
      <c r="L685" s="251"/>
      <c r="M685" s="251"/>
      <c r="N685" s="251"/>
      <c r="O685" s="251"/>
      <c r="P685" s="251"/>
      <c r="Q685" s="251"/>
      <c r="R685" s="251"/>
      <c r="S685" s="833"/>
    </row>
    <row r="686" spans="1:19" ht="21" customHeight="1">
      <c r="A686" s="251"/>
      <c r="B686" s="251"/>
      <c r="C686" s="251" t="s">
        <v>213</v>
      </c>
      <c r="D686" s="251"/>
      <c r="E686" s="251"/>
      <c r="F686" s="251"/>
      <c r="G686" s="251"/>
      <c r="H686" s="251"/>
      <c r="I686" s="251"/>
      <c r="J686" s="251"/>
      <c r="K686" s="251"/>
      <c r="L686" s="251"/>
      <c r="M686" s="251"/>
      <c r="N686" s="251"/>
      <c r="O686" s="251"/>
      <c r="P686" s="251"/>
      <c r="Q686" s="251"/>
      <c r="R686" s="251"/>
      <c r="S686" s="833"/>
    </row>
    <row r="687" spans="1:19" ht="21" customHeight="1">
      <c r="A687" s="251"/>
      <c r="B687" s="251"/>
      <c r="C687" s="251" t="s">
        <v>218</v>
      </c>
      <c r="D687" s="251"/>
      <c r="E687" s="287">
        <f>E629</f>
        <v>14.4</v>
      </c>
      <c r="F687" s="251"/>
      <c r="G687" s="268" t="s">
        <v>219</v>
      </c>
      <c r="H687" s="251"/>
      <c r="I687" s="251"/>
      <c r="J687" s="251"/>
      <c r="K687" s="251"/>
      <c r="L687" s="251"/>
      <c r="M687" s="251"/>
      <c r="N687" s="251"/>
      <c r="O687" s="251"/>
      <c r="P687" s="251"/>
      <c r="Q687" s="251"/>
      <c r="R687" s="251"/>
      <c r="S687" s="833"/>
    </row>
    <row r="688" spans="1:19" ht="21" customHeight="1">
      <c r="A688" s="251"/>
      <c r="B688" s="251"/>
      <c r="C688" s="251" t="s">
        <v>262</v>
      </c>
      <c r="D688" s="251"/>
      <c r="E688" s="286">
        <v>0.72</v>
      </c>
      <c r="F688" s="251"/>
      <c r="G688" s="251" t="s">
        <v>215</v>
      </c>
      <c r="H688" s="251"/>
      <c r="I688" s="251"/>
      <c r="J688" s="251"/>
      <c r="K688" s="251"/>
      <c r="L688" s="251"/>
      <c r="M688" s="251"/>
      <c r="N688" s="251"/>
      <c r="O688" s="251"/>
      <c r="P688" s="251"/>
      <c r="Q688" s="251"/>
      <c r="R688" s="251"/>
      <c r="S688" s="833"/>
    </row>
    <row r="689" spans="1:19" ht="21" customHeight="1">
      <c r="A689" s="251"/>
      <c r="B689" s="251"/>
      <c r="C689" s="251" t="s">
        <v>255</v>
      </c>
      <c r="D689" s="251"/>
      <c r="E689" s="285">
        <f>E688*30</f>
        <v>21.599999999999998</v>
      </c>
      <c r="F689" s="251"/>
      <c r="G689" s="251" t="s">
        <v>245</v>
      </c>
      <c r="H689" s="251"/>
      <c r="I689" s="251"/>
      <c r="J689" s="251"/>
      <c r="K689" s="251"/>
      <c r="L689" s="251"/>
      <c r="M689" s="251"/>
      <c r="N689" s="251"/>
      <c r="O689" s="251"/>
      <c r="P689" s="251"/>
      <c r="Q689" s="251"/>
      <c r="R689" s="251"/>
      <c r="S689" s="833"/>
    </row>
    <row r="690" spans="1:19" ht="21" customHeight="1">
      <c r="A690" s="251"/>
      <c r="B690" s="251"/>
      <c r="C690" s="251" t="s">
        <v>256</v>
      </c>
      <c r="D690" s="251"/>
      <c r="E690" s="286">
        <f>E689*E687</f>
        <v>311.03999999999996</v>
      </c>
      <c r="F690" s="251" t="s">
        <v>789</v>
      </c>
      <c r="G690" s="268" t="s">
        <v>247</v>
      </c>
      <c r="H690" s="251"/>
      <c r="I690" s="251"/>
      <c r="J690" s="251"/>
      <c r="K690" s="251"/>
      <c r="L690" s="251"/>
      <c r="M690" s="251"/>
      <c r="N690" s="251"/>
      <c r="O690" s="251"/>
      <c r="P690" s="251"/>
      <c r="Q690" s="251"/>
      <c r="R690" s="251"/>
      <c r="S690" s="833"/>
    </row>
    <row r="691" spans="1:19" ht="21" customHeight="1">
      <c r="A691" s="251"/>
      <c r="B691" s="251"/>
      <c r="C691" s="251" t="s">
        <v>142</v>
      </c>
      <c r="D691" s="251"/>
      <c r="E691" s="251"/>
      <c r="F691" s="251" t="s">
        <v>789</v>
      </c>
      <c r="G691" s="273">
        <f>E690</f>
        <v>311.03999999999996</v>
      </c>
      <c r="H691" s="251"/>
      <c r="I691" s="274" t="s">
        <v>787</v>
      </c>
      <c r="J691" s="251">
        <v>70</v>
      </c>
      <c r="K691" s="251"/>
      <c r="L691" s="274" t="s">
        <v>783</v>
      </c>
      <c r="M691" s="275">
        <v>100</v>
      </c>
      <c r="N691" s="251"/>
      <c r="O691" s="251" t="s">
        <v>784</v>
      </c>
      <c r="P691" s="251"/>
      <c r="Q691" s="276">
        <f>G691*J691/M691</f>
        <v>217.72799999999995</v>
      </c>
      <c r="R691" s="251"/>
      <c r="S691" s="833"/>
    </row>
    <row r="692" spans="1:19" ht="21" customHeight="1">
      <c r="A692" s="251"/>
      <c r="B692" s="251" t="s">
        <v>562</v>
      </c>
      <c r="C692" s="274" t="s">
        <v>479</v>
      </c>
      <c r="D692" s="274" t="s">
        <v>480</v>
      </c>
      <c r="E692" s="274"/>
      <c r="F692" s="251"/>
      <c r="G692" s="840" t="s">
        <v>778</v>
      </c>
      <c r="H692" s="840"/>
      <c r="I692" s="840"/>
      <c r="J692" s="840"/>
      <c r="K692" s="840"/>
      <c r="L692" s="840"/>
      <c r="M692" s="840"/>
      <c r="N692" s="840"/>
      <c r="O692" s="840"/>
      <c r="P692" s="840"/>
      <c r="Q692" s="840"/>
      <c r="R692" s="840"/>
      <c r="S692" s="833"/>
    </row>
    <row r="693" spans="1:19" ht="21" customHeight="1">
      <c r="A693" s="251"/>
      <c r="B693" s="272" t="s">
        <v>788</v>
      </c>
      <c r="C693" s="275">
        <v>100000001</v>
      </c>
      <c r="D693" s="286">
        <v>20</v>
      </c>
      <c r="E693" s="279" t="s">
        <v>821</v>
      </c>
      <c r="F693" s="251" t="s">
        <v>789</v>
      </c>
      <c r="G693" s="276">
        <f>Q691</f>
        <v>217.72799999999995</v>
      </c>
      <c r="H693" s="274" t="s">
        <v>787</v>
      </c>
      <c r="I693" s="274">
        <f>D693</f>
        <v>20</v>
      </c>
      <c r="J693" s="251" t="s">
        <v>248</v>
      </c>
      <c r="K693" s="251"/>
      <c r="L693" s="251" t="s">
        <v>783</v>
      </c>
      <c r="M693" s="280">
        <f>C693</f>
        <v>100000001</v>
      </c>
      <c r="N693" s="251"/>
      <c r="O693" s="251" t="s">
        <v>784</v>
      </c>
      <c r="P693" s="251"/>
      <c r="Q693" s="281">
        <f>ROUND(G693*D693*100/M693,4)</f>
        <v>0.0044</v>
      </c>
      <c r="R693" s="274" t="s">
        <v>562</v>
      </c>
      <c r="S693" s="833"/>
    </row>
    <row r="694" spans="1:19" ht="21" customHeight="1">
      <c r="A694" s="251"/>
      <c r="B694" s="251"/>
      <c r="C694" s="275">
        <v>150000000</v>
      </c>
      <c r="D694" s="286">
        <v>22</v>
      </c>
      <c r="E694" s="279" t="s">
        <v>821</v>
      </c>
      <c r="F694" s="251" t="s">
        <v>789</v>
      </c>
      <c r="G694" s="276">
        <f>Q691</f>
        <v>217.72799999999995</v>
      </c>
      <c r="H694" s="274" t="s">
        <v>787</v>
      </c>
      <c r="I694" s="274">
        <f>D694</f>
        <v>22</v>
      </c>
      <c r="J694" s="251" t="s">
        <v>248</v>
      </c>
      <c r="K694" s="251"/>
      <c r="L694" s="251" t="s">
        <v>783</v>
      </c>
      <c r="M694" s="280">
        <f>C694</f>
        <v>150000000</v>
      </c>
      <c r="N694" s="251"/>
      <c r="O694" s="251" t="s">
        <v>784</v>
      </c>
      <c r="P694" s="251"/>
      <c r="Q694" s="281">
        <f>ROUND(G694*D694*100/M694,4)</f>
        <v>0.0032</v>
      </c>
      <c r="R694" s="274" t="s">
        <v>562</v>
      </c>
      <c r="S694" s="833"/>
    </row>
    <row r="695" spans="1:19" ht="21" customHeight="1">
      <c r="A695" s="251"/>
      <c r="B695" s="251" t="s">
        <v>562</v>
      </c>
      <c r="C695" s="275">
        <v>200000000</v>
      </c>
      <c r="D695" s="286">
        <v>24</v>
      </c>
      <c r="E695" s="279" t="s">
        <v>821</v>
      </c>
      <c r="F695" s="251" t="s">
        <v>789</v>
      </c>
      <c r="G695" s="276">
        <f>Q691</f>
        <v>217.72799999999995</v>
      </c>
      <c r="H695" s="274" t="s">
        <v>787</v>
      </c>
      <c r="I695" s="274">
        <f>D695</f>
        <v>24</v>
      </c>
      <c r="J695" s="251" t="s">
        <v>248</v>
      </c>
      <c r="K695" s="251"/>
      <c r="L695" s="251" t="s">
        <v>783</v>
      </c>
      <c r="M695" s="280">
        <f>C695</f>
        <v>200000000</v>
      </c>
      <c r="N695" s="251"/>
      <c r="O695" s="251" t="s">
        <v>784</v>
      </c>
      <c r="P695" s="251"/>
      <c r="Q695" s="281">
        <f>ROUND(G695*D695*100/M695,4)</f>
        <v>0.0026</v>
      </c>
      <c r="R695" s="274" t="s">
        <v>562</v>
      </c>
      <c r="S695" s="833"/>
    </row>
    <row r="696" spans="1:19" ht="21" customHeight="1">
      <c r="A696" s="251"/>
      <c r="B696" s="251"/>
      <c r="C696" s="275">
        <v>250000000</v>
      </c>
      <c r="D696" s="286">
        <v>28</v>
      </c>
      <c r="E696" s="279" t="s">
        <v>821</v>
      </c>
      <c r="F696" s="251" t="s">
        <v>789</v>
      </c>
      <c r="G696" s="276">
        <f>Q691</f>
        <v>217.72799999999995</v>
      </c>
      <c r="H696" s="274" t="s">
        <v>787</v>
      </c>
      <c r="I696" s="274">
        <f>D696</f>
        <v>28</v>
      </c>
      <c r="J696" s="251" t="s">
        <v>248</v>
      </c>
      <c r="K696" s="251"/>
      <c r="L696" s="251" t="s">
        <v>783</v>
      </c>
      <c r="M696" s="280">
        <f>C696</f>
        <v>250000000</v>
      </c>
      <c r="N696" s="251"/>
      <c r="O696" s="251" t="s">
        <v>784</v>
      </c>
      <c r="P696" s="251"/>
      <c r="Q696" s="281">
        <f>ROUND(G696*D696*100/M696,4)</f>
        <v>0.0024</v>
      </c>
      <c r="R696" s="274" t="s">
        <v>562</v>
      </c>
      <c r="S696" s="833"/>
    </row>
    <row r="697" spans="1:19" ht="21" customHeight="1">
      <c r="A697" s="251"/>
      <c r="B697" s="251"/>
      <c r="C697" s="275">
        <v>300000000</v>
      </c>
      <c r="D697" s="286">
        <v>30</v>
      </c>
      <c r="E697" s="279" t="s">
        <v>821</v>
      </c>
      <c r="F697" s="251" t="s">
        <v>789</v>
      </c>
      <c r="G697" s="276">
        <f>Q691</f>
        <v>217.72799999999995</v>
      </c>
      <c r="H697" s="274" t="s">
        <v>787</v>
      </c>
      <c r="I697" s="274">
        <f>D697</f>
        <v>30</v>
      </c>
      <c r="J697" s="251" t="s">
        <v>248</v>
      </c>
      <c r="K697" s="251"/>
      <c r="L697" s="251" t="s">
        <v>783</v>
      </c>
      <c r="M697" s="280">
        <f>C697</f>
        <v>300000000</v>
      </c>
      <c r="N697" s="251"/>
      <c r="O697" s="251" t="s">
        <v>784</v>
      </c>
      <c r="P697" s="251"/>
      <c r="Q697" s="281">
        <f>ROUND(G697*D697*100/M697,4)</f>
        <v>0.0022</v>
      </c>
      <c r="R697" s="274" t="s">
        <v>562</v>
      </c>
      <c r="S697" s="833"/>
    </row>
    <row r="698" spans="1:19" ht="21" customHeight="1">
      <c r="A698" s="251"/>
      <c r="B698" s="251"/>
      <c r="C698" s="251"/>
      <c r="D698" s="251"/>
      <c r="E698" s="251"/>
      <c r="F698" s="251"/>
      <c r="G698" s="251"/>
      <c r="H698" s="251"/>
      <c r="I698" s="251"/>
      <c r="J698" s="251"/>
      <c r="K698" s="251"/>
      <c r="L698" s="251"/>
      <c r="M698" s="282" t="s">
        <v>823</v>
      </c>
      <c r="N698" s="251"/>
      <c r="O698" s="251" t="s">
        <v>784</v>
      </c>
      <c r="P698" s="251"/>
      <c r="Q698" s="283">
        <f>ROUND((Q693+Q694+Q695+Q696+Q697)/5,4)</f>
        <v>0.003</v>
      </c>
      <c r="R698" s="251"/>
      <c r="S698" s="833"/>
    </row>
    <row r="699" spans="1:19" ht="21" customHeight="1">
      <c r="A699" s="251"/>
      <c r="B699" s="251"/>
      <c r="C699" s="251"/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1"/>
      <c r="Q699" s="251"/>
      <c r="R699" s="251"/>
      <c r="S699" s="833"/>
    </row>
    <row r="700" spans="1:19" ht="21" customHeight="1">
      <c r="A700" s="251"/>
      <c r="B700" s="251"/>
      <c r="C700" s="251"/>
      <c r="D700" s="251"/>
      <c r="E700" s="251"/>
      <c r="F700" s="251"/>
      <c r="G700" s="251"/>
      <c r="H700" s="251"/>
      <c r="I700" s="251"/>
      <c r="J700" s="251"/>
      <c r="K700" s="251"/>
      <c r="L700" s="251"/>
      <c r="M700" s="251"/>
      <c r="N700" s="251"/>
      <c r="O700" s="251"/>
      <c r="P700" s="251"/>
      <c r="Q700" s="251"/>
      <c r="R700" s="251"/>
      <c r="S700" s="833"/>
    </row>
    <row r="701" spans="1:19" ht="21" customHeight="1">
      <c r="A701" s="251"/>
      <c r="B701" s="251"/>
      <c r="C701" s="251"/>
      <c r="D701" s="251"/>
      <c r="E701" s="251"/>
      <c r="F701" s="251"/>
      <c r="G701" s="251"/>
      <c r="H701" s="251"/>
      <c r="I701" s="251"/>
      <c r="J701" s="251"/>
      <c r="K701" s="251"/>
      <c r="L701" s="251"/>
      <c r="M701" s="251"/>
      <c r="N701" s="251"/>
      <c r="O701" s="251"/>
      <c r="P701" s="251"/>
      <c r="Q701" s="251"/>
      <c r="R701" s="251"/>
      <c r="S701" s="833"/>
    </row>
    <row r="702" spans="1:19" ht="21" customHeight="1">
      <c r="A702" s="838" t="s">
        <v>263</v>
      </c>
      <c r="B702" s="838"/>
      <c r="C702" s="838"/>
      <c r="D702" s="838"/>
      <c r="E702" s="838"/>
      <c r="F702" s="838"/>
      <c r="G702" s="838"/>
      <c r="H702" s="838"/>
      <c r="I702" s="838"/>
      <c r="J702" s="838"/>
      <c r="K702" s="838"/>
      <c r="L702" s="838"/>
      <c r="M702" s="838"/>
      <c r="N702" s="838"/>
      <c r="O702" s="838"/>
      <c r="P702" s="838"/>
      <c r="Q702" s="838"/>
      <c r="R702" s="838"/>
      <c r="S702" s="833"/>
    </row>
    <row r="703" spans="1:19" ht="21" customHeight="1">
      <c r="A703" s="251"/>
      <c r="B703" s="251"/>
      <c r="C703" s="251"/>
      <c r="D703" s="251"/>
      <c r="E703" s="251"/>
      <c r="F703" s="251"/>
      <c r="G703" s="251"/>
      <c r="H703" s="251"/>
      <c r="I703" s="251"/>
      <c r="J703" s="251"/>
      <c r="K703" s="251"/>
      <c r="L703" s="251"/>
      <c r="M703" s="251"/>
      <c r="N703" s="251"/>
      <c r="O703" s="251"/>
      <c r="P703" s="251"/>
      <c r="Q703" s="251"/>
      <c r="R703" s="251"/>
      <c r="S703" s="832" t="s">
        <v>264</v>
      </c>
    </row>
    <row r="704" spans="1:19" ht="21" customHeight="1">
      <c r="A704" s="251"/>
      <c r="B704" s="251" t="s">
        <v>265</v>
      </c>
      <c r="C704" s="253" t="s">
        <v>189</v>
      </c>
      <c r="D704" s="251"/>
      <c r="E704" s="251"/>
      <c r="F704" s="251"/>
      <c r="G704" s="251"/>
      <c r="H704" s="251"/>
      <c r="I704" s="251"/>
      <c r="J704" s="251"/>
      <c r="K704" s="251"/>
      <c r="L704" s="251"/>
      <c r="M704" s="251"/>
      <c r="N704" s="251"/>
      <c r="O704" s="251"/>
      <c r="P704" s="251"/>
      <c r="Q704" s="251"/>
      <c r="R704" s="251"/>
      <c r="S704" s="833"/>
    </row>
    <row r="705" spans="1:19" ht="21" customHeight="1">
      <c r="A705" s="251"/>
      <c r="B705" s="251"/>
      <c r="C705" s="251" t="s">
        <v>213</v>
      </c>
      <c r="D705" s="251"/>
      <c r="E705" s="251"/>
      <c r="F705" s="251"/>
      <c r="G705" s="251"/>
      <c r="H705" s="251"/>
      <c r="I705" s="251"/>
      <c r="J705" s="251"/>
      <c r="K705" s="251"/>
      <c r="L705" s="251"/>
      <c r="M705" s="251"/>
      <c r="N705" s="251"/>
      <c r="O705" s="251"/>
      <c r="P705" s="251"/>
      <c r="Q705" s="251"/>
      <c r="R705" s="251"/>
      <c r="S705" s="833"/>
    </row>
    <row r="706" spans="1:19" ht="21" customHeight="1">
      <c r="A706" s="251"/>
      <c r="B706" s="251"/>
      <c r="C706" s="251" t="s">
        <v>218</v>
      </c>
      <c r="D706" s="251"/>
      <c r="E706" s="287">
        <f>E629</f>
        <v>14.4</v>
      </c>
      <c r="F706" s="251"/>
      <c r="G706" s="268" t="s">
        <v>219</v>
      </c>
      <c r="H706" s="251"/>
      <c r="I706" s="251"/>
      <c r="J706" s="251"/>
      <c r="K706" s="251"/>
      <c r="L706" s="251"/>
      <c r="M706" s="251"/>
      <c r="N706" s="251"/>
      <c r="O706" s="251"/>
      <c r="P706" s="251"/>
      <c r="Q706" s="251"/>
      <c r="R706" s="251"/>
      <c r="S706" s="833"/>
    </row>
    <row r="707" spans="1:19" ht="21" customHeight="1">
      <c r="A707" s="251"/>
      <c r="B707" s="251"/>
      <c r="C707" s="251" t="s">
        <v>266</v>
      </c>
      <c r="D707" s="251"/>
      <c r="E707" s="285">
        <v>1.2</v>
      </c>
      <c r="F707" s="251"/>
      <c r="G707" s="251" t="s">
        <v>215</v>
      </c>
      <c r="H707" s="251"/>
      <c r="I707" s="251"/>
      <c r="J707" s="251"/>
      <c r="K707" s="251"/>
      <c r="L707" s="251"/>
      <c r="M707" s="251"/>
      <c r="N707" s="251"/>
      <c r="O707" s="251"/>
      <c r="P707" s="251"/>
      <c r="Q707" s="251"/>
      <c r="R707" s="251"/>
      <c r="S707" s="833"/>
    </row>
    <row r="708" spans="1:19" ht="21" customHeight="1">
      <c r="A708" s="251"/>
      <c r="B708" s="251"/>
      <c r="C708" s="251" t="s">
        <v>255</v>
      </c>
      <c r="D708" s="251"/>
      <c r="E708" s="285">
        <f>E707*30</f>
        <v>36</v>
      </c>
      <c r="F708" s="251"/>
      <c r="G708" s="251" t="s">
        <v>245</v>
      </c>
      <c r="H708" s="251"/>
      <c r="I708" s="251"/>
      <c r="J708" s="251"/>
      <c r="K708" s="251"/>
      <c r="L708" s="251"/>
      <c r="M708" s="251"/>
      <c r="N708" s="251"/>
      <c r="O708" s="251"/>
      <c r="P708" s="251"/>
      <c r="Q708" s="251"/>
      <c r="R708" s="251"/>
      <c r="S708" s="833"/>
    </row>
    <row r="709" spans="1:19" ht="21" customHeight="1">
      <c r="A709" s="251"/>
      <c r="B709" s="251"/>
      <c r="C709" s="251" t="s">
        <v>256</v>
      </c>
      <c r="D709" s="251"/>
      <c r="E709" s="285">
        <f>E708*E706</f>
        <v>518.4</v>
      </c>
      <c r="F709" s="251" t="s">
        <v>789</v>
      </c>
      <c r="G709" s="268" t="s">
        <v>247</v>
      </c>
      <c r="H709" s="251"/>
      <c r="I709" s="251"/>
      <c r="J709" s="251"/>
      <c r="K709" s="251"/>
      <c r="L709" s="251"/>
      <c r="M709" s="251"/>
      <c r="N709" s="251"/>
      <c r="O709" s="251"/>
      <c r="P709" s="251"/>
      <c r="Q709" s="251"/>
      <c r="R709" s="251"/>
      <c r="S709" s="833"/>
    </row>
    <row r="710" spans="1:19" ht="21" customHeight="1">
      <c r="A710" s="251"/>
      <c r="B710" s="251"/>
      <c r="C710" s="251" t="s">
        <v>142</v>
      </c>
      <c r="D710" s="251"/>
      <c r="E710" s="251"/>
      <c r="F710" s="251" t="s">
        <v>789</v>
      </c>
      <c r="G710" s="273">
        <f>E709</f>
        <v>518.4</v>
      </c>
      <c r="H710" s="251"/>
      <c r="I710" s="274" t="s">
        <v>787</v>
      </c>
      <c r="J710" s="251">
        <v>70</v>
      </c>
      <c r="K710" s="251"/>
      <c r="L710" s="274" t="s">
        <v>783</v>
      </c>
      <c r="M710" s="275">
        <v>100</v>
      </c>
      <c r="N710" s="251"/>
      <c r="O710" s="251" t="s">
        <v>784</v>
      </c>
      <c r="P710" s="251"/>
      <c r="Q710" s="276">
        <f>G710*J710/M710</f>
        <v>362.88</v>
      </c>
      <c r="R710" s="251"/>
      <c r="S710" s="833"/>
    </row>
    <row r="711" spans="1:19" ht="21" customHeight="1">
      <c r="A711" s="251"/>
      <c r="B711" s="251" t="s">
        <v>562</v>
      </c>
      <c r="C711" s="274" t="s">
        <v>479</v>
      </c>
      <c r="D711" s="274" t="s">
        <v>480</v>
      </c>
      <c r="E711" s="274"/>
      <c r="F711" s="251"/>
      <c r="G711" s="840" t="s">
        <v>778</v>
      </c>
      <c r="H711" s="840"/>
      <c r="I711" s="840"/>
      <c r="J711" s="840"/>
      <c r="K711" s="840"/>
      <c r="L711" s="840"/>
      <c r="M711" s="840"/>
      <c r="N711" s="840"/>
      <c r="O711" s="840"/>
      <c r="P711" s="840"/>
      <c r="Q711" s="840"/>
      <c r="R711" s="840"/>
      <c r="S711" s="833"/>
    </row>
    <row r="712" spans="1:19" ht="21" customHeight="1">
      <c r="A712" s="251"/>
      <c r="B712" s="272" t="s">
        <v>788</v>
      </c>
      <c r="C712" s="275">
        <v>300000001</v>
      </c>
      <c r="D712" s="286">
        <v>30</v>
      </c>
      <c r="E712" s="279" t="s">
        <v>821</v>
      </c>
      <c r="F712" s="251" t="s">
        <v>789</v>
      </c>
      <c r="G712" s="276">
        <f>Q710</f>
        <v>362.88</v>
      </c>
      <c r="H712" s="274" t="s">
        <v>787</v>
      </c>
      <c r="I712" s="274">
        <f>D712</f>
        <v>30</v>
      </c>
      <c r="J712" s="251" t="s">
        <v>248</v>
      </c>
      <c r="K712" s="251"/>
      <c r="L712" s="251" t="s">
        <v>783</v>
      </c>
      <c r="M712" s="280">
        <f>C712</f>
        <v>300000001</v>
      </c>
      <c r="N712" s="251"/>
      <c r="O712" s="251" t="s">
        <v>784</v>
      </c>
      <c r="P712" s="251"/>
      <c r="Q712" s="281">
        <f>ROUND(G712*D712*100/M712,4)</f>
        <v>0.0036</v>
      </c>
      <c r="R712" s="274" t="s">
        <v>562</v>
      </c>
      <c r="S712" s="833"/>
    </row>
    <row r="713" spans="1:19" ht="21" customHeight="1">
      <c r="A713" s="251"/>
      <c r="B713" s="251"/>
      <c r="C713" s="275">
        <v>350000000</v>
      </c>
      <c r="D713" s="286">
        <v>32</v>
      </c>
      <c r="E713" s="279" t="s">
        <v>821</v>
      </c>
      <c r="F713" s="251" t="s">
        <v>789</v>
      </c>
      <c r="G713" s="276">
        <f>Q710</f>
        <v>362.88</v>
      </c>
      <c r="H713" s="274" t="s">
        <v>787</v>
      </c>
      <c r="I713" s="274">
        <f>D713</f>
        <v>32</v>
      </c>
      <c r="J713" s="251" t="s">
        <v>248</v>
      </c>
      <c r="K713" s="251"/>
      <c r="L713" s="251" t="s">
        <v>783</v>
      </c>
      <c r="M713" s="280">
        <f>C713</f>
        <v>350000000</v>
      </c>
      <c r="N713" s="251"/>
      <c r="O713" s="251" t="s">
        <v>784</v>
      </c>
      <c r="P713" s="251"/>
      <c r="Q713" s="281">
        <f>ROUND(G713*D713*100/M713,4)</f>
        <v>0.0033</v>
      </c>
      <c r="R713" s="274" t="s">
        <v>562</v>
      </c>
      <c r="S713" s="833"/>
    </row>
    <row r="714" spans="1:19" ht="21" customHeight="1">
      <c r="A714" s="251"/>
      <c r="B714" s="251"/>
      <c r="C714" s="275">
        <v>400000000</v>
      </c>
      <c r="D714" s="286">
        <v>36</v>
      </c>
      <c r="E714" s="279" t="s">
        <v>821</v>
      </c>
      <c r="F714" s="251" t="s">
        <v>789</v>
      </c>
      <c r="G714" s="276">
        <f>Q710</f>
        <v>362.88</v>
      </c>
      <c r="H714" s="274" t="s">
        <v>787</v>
      </c>
      <c r="I714" s="274">
        <f>D714</f>
        <v>36</v>
      </c>
      <c r="J714" s="251" t="s">
        <v>248</v>
      </c>
      <c r="K714" s="251"/>
      <c r="L714" s="251" t="s">
        <v>783</v>
      </c>
      <c r="M714" s="280">
        <f>C714</f>
        <v>400000000</v>
      </c>
      <c r="N714" s="251"/>
      <c r="O714" s="251" t="s">
        <v>784</v>
      </c>
      <c r="P714" s="251"/>
      <c r="Q714" s="281">
        <f>ROUND(G714*D714*100/M714,4)</f>
        <v>0.0033</v>
      </c>
      <c r="R714" s="274" t="s">
        <v>562</v>
      </c>
      <c r="S714" s="833"/>
    </row>
    <row r="715" spans="1:19" ht="21" customHeight="1">
      <c r="A715" s="251"/>
      <c r="B715" s="251"/>
      <c r="C715" s="275">
        <v>500000000</v>
      </c>
      <c r="D715" s="286">
        <v>36</v>
      </c>
      <c r="E715" s="279" t="s">
        <v>821</v>
      </c>
      <c r="F715" s="251" t="s">
        <v>789</v>
      </c>
      <c r="G715" s="276">
        <f>Q710</f>
        <v>362.88</v>
      </c>
      <c r="H715" s="274" t="s">
        <v>787</v>
      </c>
      <c r="I715" s="274">
        <f>D715</f>
        <v>36</v>
      </c>
      <c r="J715" s="251" t="s">
        <v>248</v>
      </c>
      <c r="K715" s="251"/>
      <c r="L715" s="251" t="s">
        <v>783</v>
      </c>
      <c r="M715" s="280">
        <f>C715</f>
        <v>500000000</v>
      </c>
      <c r="N715" s="251"/>
      <c r="O715" s="251" t="s">
        <v>784</v>
      </c>
      <c r="P715" s="251"/>
      <c r="Q715" s="281">
        <f>ROUND(G715*D715*100/M715,4)</f>
        <v>0.0026</v>
      </c>
      <c r="R715" s="274" t="s">
        <v>562</v>
      </c>
      <c r="S715" s="833"/>
    </row>
    <row r="716" spans="1:19" ht="21" customHeight="1">
      <c r="A716" s="251"/>
      <c r="B716" s="251"/>
      <c r="C716" s="251"/>
      <c r="D716" s="251"/>
      <c r="E716" s="251"/>
      <c r="F716" s="251"/>
      <c r="G716" s="251"/>
      <c r="H716" s="251"/>
      <c r="I716" s="251"/>
      <c r="J716" s="251"/>
      <c r="K716" s="251"/>
      <c r="L716" s="251"/>
      <c r="M716" s="282" t="s">
        <v>823</v>
      </c>
      <c r="N716" s="251"/>
      <c r="O716" s="251" t="s">
        <v>784</v>
      </c>
      <c r="P716" s="251"/>
      <c r="Q716" s="283">
        <f>ROUND((Q712+Q713+Q714+Q715)/4,4)</f>
        <v>0.0032</v>
      </c>
      <c r="R716" s="251"/>
      <c r="S716" s="833"/>
    </row>
    <row r="717" spans="1:19" ht="21" customHeight="1">
      <c r="A717" s="251"/>
      <c r="B717" s="251" t="s">
        <v>267</v>
      </c>
      <c r="C717" s="253" t="s">
        <v>268</v>
      </c>
      <c r="D717" s="251"/>
      <c r="E717" s="251"/>
      <c r="F717" s="251"/>
      <c r="G717" s="251"/>
      <c r="H717" s="251"/>
      <c r="I717" s="251"/>
      <c r="J717" s="251"/>
      <c r="K717" s="251"/>
      <c r="L717" s="251"/>
      <c r="M717" s="251"/>
      <c r="N717" s="251"/>
      <c r="O717" s="251"/>
      <c r="P717" s="251"/>
      <c r="Q717" s="251"/>
      <c r="R717" s="251"/>
      <c r="S717" s="833"/>
    </row>
    <row r="718" spans="1:19" ht="21" customHeight="1">
      <c r="A718" s="251"/>
      <c r="B718" s="251"/>
      <c r="C718" s="251" t="s">
        <v>213</v>
      </c>
      <c r="D718" s="251"/>
      <c r="E718" s="251"/>
      <c r="F718" s="251"/>
      <c r="G718" s="251"/>
      <c r="H718" s="251"/>
      <c r="I718" s="251"/>
      <c r="J718" s="251"/>
      <c r="K718" s="251"/>
      <c r="L718" s="251"/>
      <c r="M718" s="251"/>
      <c r="N718" s="251"/>
      <c r="O718" s="251"/>
      <c r="P718" s="251"/>
      <c r="Q718" s="251"/>
      <c r="R718" s="251"/>
      <c r="S718" s="833"/>
    </row>
    <row r="719" spans="1:19" ht="21" customHeight="1">
      <c r="A719" s="251"/>
      <c r="B719" s="251"/>
      <c r="C719" s="251" t="s">
        <v>218</v>
      </c>
      <c r="D719" s="251"/>
      <c r="E719" s="284">
        <f>E629</f>
        <v>14.4</v>
      </c>
      <c r="F719" s="251"/>
      <c r="G719" s="268" t="s">
        <v>219</v>
      </c>
      <c r="H719" s="251"/>
      <c r="I719" s="251"/>
      <c r="J719" s="251"/>
      <c r="K719" s="251"/>
      <c r="L719" s="251"/>
      <c r="M719" s="251"/>
      <c r="N719" s="251"/>
      <c r="O719" s="251"/>
      <c r="P719" s="251"/>
      <c r="Q719" s="251"/>
      <c r="R719" s="251"/>
      <c r="S719" s="833"/>
    </row>
    <row r="720" spans="1:19" ht="21" customHeight="1">
      <c r="A720" s="251"/>
      <c r="B720" s="251"/>
      <c r="C720" s="251" t="s">
        <v>269</v>
      </c>
      <c r="D720" s="251"/>
      <c r="E720" s="288">
        <v>1.8</v>
      </c>
      <c r="F720" s="251"/>
      <c r="G720" s="251" t="s">
        <v>215</v>
      </c>
      <c r="H720" s="251"/>
      <c r="I720" s="251"/>
      <c r="J720" s="251"/>
      <c r="K720" s="251"/>
      <c r="L720" s="251"/>
      <c r="M720" s="251"/>
      <c r="N720" s="251"/>
      <c r="O720" s="251"/>
      <c r="P720" s="251"/>
      <c r="Q720" s="251"/>
      <c r="R720" s="251"/>
      <c r="S720" s="833"/>
    </row>
    <row r="721" spans="1:19" ht="21" customHeight="1">
      <c r="A721" s="251"/>
      <c r="B721" s="251"/>
      <c r="C721" s="251" t="s">
        <v>270</v>
      </c>
      <c r="D721" s="251"/>
      <c r="E721" s="284">
        <f>E720*30</f>
        <v>54</v>
      </c>
      <c r="F721" s="251"/>
      <c r="G721" s="251" t="s">
        <v>245</v>
      </c>
      <c r="H721" s="251"/>
      <c r="I721" s="251"/>
      <c r="J721" s="251"/>
      <c r="K721" s="251"/>
      <c r="L721" s="251"/>
      <c r="M721" s="251"/>
      <c r="N721" s="251"/>
      <c r="O721" s="251"/>
      <c r="P721" s="251"/>
      <c r="Q721" s="251"/>
      <c r="R721" s="251"/>
      <c r="S721" s="833"/>
    </row>
    <row r="722" spans="1:19" ht="21" customHeight="1">
      <c r="A722" s="251"/>
      <c r="B722" s="251"/>
      <c r="C722" s="251" t="s">
        <v>256</v>
      </c>
      <c r="D722" s="251"/>
      <c r="E722" s="284">
        <f>E721*E719</f>
        <v>777.6</v>
      </c>
      <c r="F722" s="251" t="s">
        <v>789</v>
      </c>
      <c r="G722" s="268" t="s">
        <v>247</v>
      </c>
      <c r="H722" s="251"/>
      <c r="I722" s="251"/>
      <c r="J722" s="251"/>
      <c r="K722" s="251"/>
      <c r="L722" s="251"/>
      <c r="M722" s="251"/>
      <c r="N722" s="251"/>
      <c r="O722" s="251"/>
      <c r="P722" s="251"/>
      <c r="Q722" s="251"/>
      <c r="R722" s="251"/>
      <c r="S722" s="833"/>
    </row>
    <row r="723" spans="1:19" ht="21" customHeight="1">
      <c r="A723" s="251"/>
      <c r="B723" s="251"/>
      <c r="C723" s="251" t="s">
        <v>142</v>
      </c>
      <c r="D723" s="251"/>
      <c r="E723" s="251"/>
      <c r="F723" s="251" t="s">
        <v>789</v>
      </c>
      <c r="G723" s="273">
        <f>E722</f>
        <v>777.6</v>
      </c>
      <c r="H723" s="251"/>
      <c r="I723" s="274" t="s">
        <v>787</v>
      </c>
      <c r="J723" s="251">
        <v>70</v>
      </c>
      <c r="K723" s="251"/>
      <c r="L723" s="274" t="s">
        <v>783</v>
      </c>
      <c r="M723" s="275">
        <v>100</v>
      </c>
      <c r="N723" s="251"/>
      <c r="O723" s="251" t="s">
        <v>784</v>
      </c>
      <c r="P723" s="251"/>
      <c r="Q723" s="276">
        <f>G723*J723/M723</f>
        <v>544.32</v>
      </c>
      <c r="R723" s="251"/>
      <c r="S723" s="833"/>
    </row>
    <row r="724" spans="1:19" ht="21" customHeight="1">
      <c r="A724" s="251"/>
      <c r="B724" s="251" t="s">
        <v>562</v>
      </c>
      <c r="C724" s="274" t="s">
        <v>479</v>
      </c>
      <c r="D724" s="274" t="s">
        <v>480</v>
      </c>
      <c r="E724" s="274"/>
      <c r="F724" s="251"/>
      <c r="G724" s="840" t="s">
        <v>778</v>
      </c>
      <c r="H724" s="840"/>
      <c r="I724" s="840"/>
      <c r="J724" s="840"/>
      <c r="K724" s="840"/>
      <c r="L724" s="840"/>
      <c r="M724" s="840"/>
      <c r="N724" s="840"/>
      <c r="O724" s="840"/>
      <c r="P724" s="840"/>
      <c r="Q724" s="840"/>
      <c r="R724" s="840"/>
      <c r="S724" s="833"/>
    </row>
    <row r="725" spans="1:19" ht="21" customHeight="1">
      <c r="A725" s="251"/>
      <c r="B725" s="272" t="s">
        <v>788</v>
      </c>
      <c r="C725" s="275">
        <v>500000001</v>
      </c>
      <c r="D725" s="278">
        <v>36</v>
      </c>
      <c r="E725" s="279" t="s">
        <v>821</v>
      </c>
      <c r="F725" s="251" t="s">
        <v>789</v>
      </c>
      <c r="G725" s="276">
        <f>Q723</f>
        <v>544.32</v>
      </c>
      <c r="H725" s="274" t="s">
        <v>787</v>
      </c>
      <c r="I725" s="274">
        <f>D725</f>
        <v>36</v>
      </c>
      <c r="J725" s="251" t="s">
        <v>248</v>
      </c>
      <c r="K725" s="251"/>
      <c r="L725" s="251" t="s">
        <v>783</v>
      </c>
      <c r="M725" s="280">
        <f>C725</f>
        <v>500000001</v>
      </c>
      <c r="N725" s="251"/>
      <c r="O725" s="251" t="s">
        <v>784</v>
      </c>
      <c r="P725" s="251"/>
      <c r="Q725" s="281">
        <f>ROUND(G725*D725*100/M725,4)</f>
        <v>0.0039</v>
      </c>
      <c r="R725" s="274" t="s">
        <v>562</v>
      </c>
      <c r="S725" s="833"/>
    </row>
    <row r="726" spans="1:19" ht="21" customHeight="1">
      <c r="A726" s="251"/>
      <c r="B726" s="251"/>
      <c r="C726" s="275">
        <v>1000000000</v>
      </c>
      <c r="D726" s="278">
        <v>40</v>
      </c>
      <c r="E726" s="279" t="s">
        <v>821</v>
      </c>
      <c r="F726" s="251" t="s">
        <v>789</v>
      </c>
      <c r="G726" s="276">
        <f>Q723</f>
        <v>544.32</v>
      </c>
      <c r="H726" s="274" t="s">
        <v>787</v>
      </c>
      <c r="I726" s="274">
        <f>D726</f>
        <v>40</v>
      </c>
      <c r="J726" s="251" t="s">
        <v>248</v>
      </c>
      <c r="K726" s="251"/>
      <c r="L726" s="251" t="s">
        <v>783</v>
      </c>
      <c r="M726" s="280">
        <f>C726</f>
        <v>1000000000</v>
      </c>
      <c r="N726" s="251"/>
      <c r="O726" s="251" t="s">
        <v>784</v>
      </c>
      <c r="P726" s="251"/>
      <c r="Q726" s="281">
        <f>ROUND(G726*D726*100/M726,4)</f>
        <v>0.0022</v>
      </c>
      <c r="R726" s="274" t="s">
        <v>562</v>
      </c>
      <c r="S726" s="833"/>
    </row>
    <row r="727" spans="1:19" ht="21" customHeight="1">
      <c r="A727" s="251"/>
      <c r="B727" s="251"/>
      <c r="C727" s="251"/>
      <c r="D727" s="251"/>
      <c r="E727" s="251"/>
      <c r="F727" s="251"/>
      <c r="G727" s="251"/>
      <c r="H727" s="251"/>
      <c r="I727" s="251"/>
      <c r="J727" s="251"/>
      <c r="K727" s="251"/>
      <c r="L727" s="251"/>
      <c r="M727" s="282" t="s">
        <v>823</v>
      </c>
      <c r="N727" s="251"/>
      <c r="O727" s="251" t="s">
        <v>784</v>
      </c>
      <c r="P727" s="251"/>
      <c r="Q727" s="283">
        <f>ROUND((Q725+Q726)/2,4)</f>
        <v>0.0031</v>
      </c>
      <c r="R727" s="251"/>
      <c r="S727" s="833"/>
    </row>
    <row r="728" spans="1:19" ht="21" customHeight="1">
      <c r="A728" s="251"/>
      <c r="B728" s="251"/>
      <c r="C728" s="251"/>
      <c r="D728" s="251"/>
      <c r="E728" s="251"/>
      <c r="F728" s="251"/>
      <c r="G728" s="251"/>
      <c r="H728" s="251"/>
      <c r="I728" s="251"/>
      <c r="J728" s="251"/>
      <c r="K728" s="251"/>
      <c r="L728" s="251"/>
      <c r="M728" s="251"/>
      <c r="N728" s="251"/>
      <c r="O728" s="251"/>
      <c r="P728" s="251"/>
      <c r="Q728" s="251"/>
      <c r="R728" s="251"/>
      <c r="S728" s="833"/>
    </row>
    <row r="729" spans="1:19" ht="21" customHeight="1">
      <c r="A729" s="838" t="s">
        <v>271</v>
      </c>
      <c r="B729" s="838"/>
      <c r="C729" s="838"/>
      <c r="D729" s="838"/>
      <c r="E729" s="838"/>
      <c r="F729" s="838"/>
      <c r="G729" s="838"/>
      <c r="H729" s="838"/>
      <c r="I729" s="838"/>
      <c r="J729" s="838"/>
      <c r="K729" s="838"/>
      <c r="L729" s="838"/>
      <c r="M729" s="838"/>
      <c r="N729" s="838"/>
      <c r="O729" s="838"/>
      <c r="P729" s="838"/>
      <c r="Q729" s="838"/>
      <c r="R729" s="838"/>
      <c r="S729" s="833"/>
    </row>
    <row r="730" spans="1:19" ht="21" customHeight="1">
      <c r="A730" s="251"/>
      <c r="B730" s="251" t="s">
        <v>272</v>
      </c>
      <c r="C730" s="253" t="s">
        <v>273</v>
      </c>
      <c r="D730" s="251"/>
      <c r="E730" s="251"/>
      <c r="F730" s="251"/>
      <c r="G730" s="251"/>
      <c r="H730" s="251"/>
      <c r="I730" s="251"/>
      <c r="J730" s="251"/>
      <c r="K730" s="251"/>
      <c r="L730" s="251"/>
      <c r="M730" s="251"/>
      <c r="N730" s="251"/>
      <c r="O730" s="251"/>
      <c r="P730" s="251"/>
      <c r="Q730" s="251"/>
      <c r="R730" s="251"/>
      <c r="S730" s="832" t="s">
        <v>274</v>
      </c>
    </row>
    <row r="731" spans="1:19" ht="21" customHeight="1">
      <c r="A731" s="251"/>
      <c r="B731" s="251"/>
      <c r="C731" s="251" t="s">
        <v>275</v>
      </c>
      <c r="D731" s="251"/>
      <c r="E731" s="284">
        <v>2.7</v>
      </c>
      <c r="F731" s="251"/>
      <c r="G731" s="268" t="s">
        <v>276</v>
      </c>
      <c r="H731" s="251"/>
      <c r="I731" s="251"/>
      <c r="J731" s="251"/>
      <c r="K731" s="251"/>
      <c r="L731" s="251"/>
      <c r="M731" s="251"/>
      <c r="N731" s="251"/>
      <c r="O731" s="251"/>
      <c r="P731" s="251"/>
      <c r="Q731" s="251"/>
      <c r="R731" s="251"/>
      <c r="S731" s="833"/>
    </row>
    <row r="732" spans="1:19" ht="21" customHeight="1">
      <c r="A732" s="251"/>
      <c r="B732" s="251"/>
      <c r="C732" s="251" t="s">
        <v>277</v>
      </c>
      <c r="D732" s="251"/>
      <c r="E732" s="278">
        <v>24</v>
      </c>
      <c r="F732" s="251"/>
      <c r="G732" s="251" t="s">
        <v>152</v>
      </c>
      <c r="H732" s="251"/>
      <c r="I732" s="251"/>
      <c r="J732" s="251"/>
      <c r="K732" s="251"/>
      <c r="L732" s="251"/>
      <c r="M732" s="251"/>
      <c r="N732" s="251"/>
      <c r="O732" s="251"/>
      <c r="P732" s="251"/>
      <c r="Q732" s="251"/>
      <c r="R732" s="251"/>
      <c r="S732" s="833"/>
    </row>
    <row r="733" spans="1:19" ht="21" customHeight="1">
      <c r="A733" s="251"/>
      <c r="B733" s="251"/>
      <c r="C733" s="251" t="s">
        <v>278</v>
      </c>
      <c r="D733" s="251"/>
      <c r="E733" s="278">
        <f>E732*20</f>
        <v>480</v>
      </c>
      <c r="F733" s="251"/>
      <c r="G733" s="251" t="s">
        <v>279</v>
      </c>
      <c r="H733" s="251"/>
      <c r="I733" s="251"/>
      <c r="J733" s="251"/>
      <c r="K733" s="251"/>
      <c r="L733" s="251"/>
      <c r="M733" s="251"/>
      <c r="N733" s="251"/>
      <c r="O733" s="251"/>
      <c r="P733" s="251"/>
      <c r="Q733" s="251"/>
      <c r="R733" s="251"/>
      <c r="S733" s="833"/>
    </row>
    <row r="734" spans="1:19" ht="21" customHeight="1">
      <c r="A734" s="251"/>
      <c r="B734" s="251"/>
      <c r="C734" s="251" t="s">
        <v>280</v>
      </c>
      <c r="D734" s="251"/>
      <c r="E734" s="278">
        <f>E732*70</f>
        <v>1680</v>
      </c>
      <c r="F734" s="251"/>
      <c r="G734" s="251" t="s">
        <v>279</v>
      </c>
      <c r="H734" s="251" t="s">
        <v>281</v>
      </c>
      <c r="I734" s="251"/>
      <c r="J734" s="251"/>
      <c r="K734" s="251"/>
      <c r="L734" s="251" t="s">
        <v>789</v>
      </c>
      <c r="M734" s="276">
        <f>E733+E734</f>
        <v>2160</v>
      </c>
      <c r="N734" s="251" t="s">
        <v>279</v>
      </c>
      <c r="O734" s="251"/>
      <c r="P734" s="251"/>
      <c r="Q734" s="251"/>
      <c r="R734" s="251"/>
      <c r="S734" s="833"/>
    </row>
    <row r="735" spans="1:19" ht="21" customHeight="1">
      <c r="A735" s="251"/>
      <c r="B735" s="251"/>
      <c r="C735" s="251" t="s">
        <v>282</v>
      </c>
      <c r="D735" s="251"/>
      <c r="E735" s="251"/>
      <c r="F735" s="251" t="s">
        <v>789</v>
      </c>
      <c r="G735" s="276">
        <f>M734</f>
        <v>2160</v>
      </c>
      <c r="H735" s="251"/>
      <c r="I735" s="274" t="s">
        <v>787</v>
      </c>
      <c r="J735" s="251">
        <v>12</v>
      </c>
      <c r="K735" s="251"/>
      <c r="L735" s="274" t="s">
        <v>783</v>
      </c>
      <c r="M735" s="279">
        <v>1000</v>
      </c>
      <c r="N735" s="251"/>
      <c r="O735" s="251" t="s">
        <v>784</v>
      </c>
      <c r="P735" s="251"/>
      <c r="Q735" s="289">
        <f>G735*J735/1000</f>
        <v>25.92</v>
      </c>
      <c r="R735" s="274" t="s">
        <v>283</v>
      </c>
      <c r="S735" s="833"/>
    </row>
    <row r="736" spans="1:19" ht="21" customHeight="1">
      <c r="A736" s="251"/>
      <c r="B736" s="251"/>
      <c r="C736" s="251" t="s">
        <v>284</v>
      </c>
      <c r="D736" s="251"/>
      <c r="E736" s="251"/>
      <c r="F736" s="251" t="s">
        <v>789</v>
      </c>
      <c r="G736" s="290">
        <f>Q735</f>
        <v>25.92</v>
      </c>
      <c r="H736" s="251"/>
      <c r="I736" s="274" t="s">
        <v>787</v>
      </c>
      <c r="J736" s="280">
        <f>E731</f>
        <v>2.7</v>
      </c>
      <c r="K736" s="251"/>
      <c r="L736" s="274" t="s">
        <v>787</v>
      </c>
      <c r="M736" s="251">
        <v>30</v>
      </c>
      <c r="N736" s="251"/>
      <c r="O736" s="251" t="s">
        <v>784</v>
      </c>
      <c r="P736" s="251"/>
      <c r="Q736" s="276">
        <f>G736*J736*30</f>
        <v>2099.5200000000004</v>
      </c>
      <c r="R736" s="274" t="s">
        <v>156</v>
      </c>
      <c r="S736" s="833"/>
    </row>
    <row r="737" spans="1:19" ht="21" customHeight="1">
      <c r="A737" s="251"/>
      <c r="B737" s="251"/>
      <c r="C737" s="251" t="s">
        <v>142</v>
      </c>
      <c r="D737" s="251"/>
      <c r="E737" s="251"/>
      <c r="F737" s="251" t="s">
        <v>789</v>
      </c>
      <c r="G737" s="273">
        <f>Q736</f>
        <v>2099.5200000000004</v>
      </c>
      <c r="H737" s="251"/>
      <c r="I737" s="274" t="s">
        <v>787</v>
      </c>
      <c r="J737" s="251">
        <v>70</v>
      </c>
      <c r="K737" s="251"/>
      <c r="L737" s="274" t="s">
        <v>783</v>
      </c>
      <c r="M737" s="275">
        <v>100</v>
      </c>
      <c r="N737" s="251"/>
      <c r="O737" s="251" t="s">
        <v>784</v>
      </c>
      <c r="P737" s="251"/>
      <c r="Q737" s="291">
        <f>G737*J737/M737</f>
        <v>1469.6640000000002</v>
      </c>
      <c r="R737" s="274" t="s">
        <v>156</v>
      </c>
      <c r="S737" s="833"/>
    </row>
    <row r="738" spans="1:19" ht="21" customHeight="1">
      <c r="A738" s="251"/>
      <c r="B738" s="251" t="s">
        <v>562</v>
      </c>
      <c r="C738" s="274" t="s">
        <v>479</v>
      </c>
      <c r="D738" s="274" t="s">
        <v>480</v>
      </c>
      <c r="E738" s="274"/>
      <c r="F738" s="251"/>
      <c r="G738" s="840" t="s">
        <v>778</v>
      </c>
      <c r="H738" s="840"/>
      <c r="I738" s="840"/>
      <c r="J738" s="840"/>
      <c r="K738" s="840"/>
      <c r="L738" s="840"/>
      <c r="M738" s="840"/>
      <c r="N738" s="840"/>
      <c r="O738" s="840"/>
      <c r="P738" s="840"/>
      <c r="Q738" s="840"/>
      <c r="R738" s="840"/>
      <c r="S738" s="833"/>
    </row>
    <row r="739" spans="1:19" ht="21" customHeight="1">
      <c r="A739" s="251"/>
      <c r="B739" s="272" t="s">
        <v>788</v>
      </c>
      <c r="C739" s="275">
        <v>500000</v>
      </c>
      <c r="D739" s="278">
        <v>6</v>
      </c>
      <c r="E739" s="279" t="s">
        <v>821</v>
      </c>
      <c r="F739" s="251" t="s">
        <v>789</v>
      </c>
      <c r="G739" s="276">
        <f>Q737</f>
        <v>1469.6640000000002</v>
      </c>
      <c r="H739" s="274" t="s">
        <v>787</v>
      </c>
      <c r="I739" s="274">
        <f aca="true" t="shared" si="20" ref="I739:I746">D739</f>
        <v>6</v>
      </c>
      <c r="J739" s="251" t="s">
        <v>248</v>
      </c>
      <c r="K739" s="251"/>
      <c r="L739" s="251" t="s">
        <v>783</v>
      </c>
      <c r="M739" s="280">
        <f aca="true" t="shared" si="21" ref="M739:M746">C739</f>
        <v>500000</v>
      </c>
      <c r="N739" s="251"/>
      <c r="O739" s="251" t="s">
        <v>784</v>
      </c>
      <c r="P739" s="251"/>
      <c r="Q739" s="281">
        <f aca="true" t="shared" si="22" ref="Q739:Q746">ROUND(G739*D739*100/M739,4)</f>
        <v>1.7636</v>
      </c>
      <c r="R739" s="274" t="s">
        <v>562</v>
      </c>
      <c r="S739" s="833"/>
    </row>
    <row r="740" spans="1:19" ht="21" customHeight="1">
      <c r="A740" s="251"/>
      <c r="B740" s="251"/>
      <c r="C740" s="275">
        <v>1000000</v>
      </c>
      <c r="D740" s="278">
        <v>6</v>
      </c>
      <c r="E740" s="279" t="s">
        <v>821</v>
      </c>
      <c r="F740" s="251" t="s">
        <v>789</v>
      </c>
      <c r="G740" s="276">
        <f>Q737</f>
        <v>1469.6640000000002</v>
      </c>
      <c r="H740" s="274" t="s">
        <v>787</v>
      </c>
      <c r="I740" s="274">
        <f t="shared" si="20"/>
        <v>6</v>
      </c>
      <c r="J740" s="251" t="s">
        <v>248</v>
      </c>
      <c r="K740" s="251"/>
      <c r="L740" s="251" t="s">
        <v>783</v>
      </c>
      <c r="M740" s="280">
        <f t="shared" si="21"/>
        <v>1000000</v>
      </c>
      <c r="N740" s="251"/>
      <c r="O740" s="251" t="s">
        <v>784</v>
      </c>
      <c r="P740" s="251"/>
      <c r="Q740" s="281">
        <f t="shared" si="22"/>
        <v>0.8818</v>
      </c>
      <c r="R740" s="274" t="s">
        <v>562</v>
      </c>
      <c r="S740" s="833"/>
    </row>
    <row r="741" spans="1:19" ht="21" customHeight="1">
      <c r="A741" s="251"/>
      <c r="B741" s="251"/>
      <c r="C741" s="275">
        <v>2000000</v>
      </c>
      <c r="D741" s="278">
        <v>9</v>
      </c>
      <c r="E741" s="279" t="s">
        <v>821</v>
      </c>
      <c r="F741" s="251" t="s">
        <v>789</v>
      </c>
      <c r="G741" s="276">
        <f>Q737</f>
        <v>1469.6640000000002</v>
      </c>
      <c r="H741" s="274" t="s">
        <v>787</v>
      </c>
      <c r="I741" s="274">
        <f t="shared" si="20"/>
        <v>9</v>
      </c>
      <c r="J741" s="251" t="s">
        <v>248</v>
      </c>
      <c r="K741" s="251"/>
      <c r="L741" s="251" t="s">
        <v>783</v>
      </c>
      <c r="M741" s="280">
        <f t="shared" si="21"/>
        <v>2000000</v>
      </c>
      <c r="N741" s="251"/>
      <c r="O741" s="251" t="s">
        <v>784</v>
      </c>
      <c r="P741" s="251"/>
      <c r="Q741" s="281">
        <f t="shared" si="22"/>
        <v>0.6613</v>
      </c>
      <c r="R741" s="274"/>
      <c r="S741" s="833"/>
    </row>
    <row r="742" spans="1:19" ht="21" customHeight="1">
      <c r="A742" s="251"/>
      <c r="B742" s="251"/>
      <c r="C742" s="275">
        <v>5000000</v>
      </c>
      <c r="D742" s="278">
        <v>12</v>
      </c>
      <c r="E742" s="279" t="s">
        <v>821</v>
      </c>
      <c r="F742" s="251" t="s">
        <v>789</v>
      </c>
      <c r="G742" s="276">
        <f>Q737</f>
        <v>1469.6640000000002</v>
      </c>
      <c r="H742" s="274" t="s">
        <v>787</v>
      </c>
      <c r="I742" s="274">
        <f t="shared" si="20"/>
        <v>12</v>
      </c>
      <c r="J742" s="251" t="s">
        <v>248</v>
      </c>
      <c r="K742" s="251"/>
      <c r="L742" s="251" t="s">
        <v>783</v>
      </c>
      <c r="M742" s="280">
        <f t="shared" si="21"/>
        <v>5000000</v>
      </c>
      <c r="N742" s="251"/>
      <c r="O742" s="251" t="s">
        <v>784</v>
      </c>
      <c r="P742" s="251"/>
      <c r="Q742" s="281">
        <f t="shared" si="22"/>
        <v>0.3527</v>
      </c>
      <c r="R742" s="274" t="s">
        <v>562</v>
      </c>
      <c r="S742" s="833"/>
    </row>
    <row r="743" spans="1:19" ht="21" customHeight="1">
      <c r="A743" s="251"/>
      <c r="B743" s="251"/>
      <c r="C743" s="275">
        <v>10000000</v>
      </c>
      <c r="D743" s="278">
        <v>15</v>
      </c>
      <c r="E743" s="279" t="s">
        <v>821</v>
      </c>
      <c r="F743" s="251" t="s">
        <v>789</v>
      </c>
      <c r="G743" s="276">
        <f>Q737</f>
        <v>1469.6640000000002</v>
      </c>
      <c r="H743" s="274" t="s">
        <v>787</v>
      </c>
      <c r="I743" s="274">
        <f t="shared" si="20"/>
        <v>15</v>
      </c>
      <c r="J743" s="251" t="s">
        <v>248</v>
      </c>
      <c r="K743" s="251"/>
      <c r="L743" s="251" t="s">
        <v>783</v>
      </c>
      <c r="M743" s="280">
        <f t="shared" si="21"/>
        <v>10000000</v>
      </c>
      <c r="N743" s="251"/>
      <c r="O743" s="251" t="s">
        <v>784</v>
      </c>
      <c r="P743" s="251"/>
      <c r="Q743" s="281">
        <f t="shared" si="22"/>
        <v>0.2204</v>
      </c>
      <c r="R743" s="274" t="s">
        <v>562</v>
      </c>
      <c r="S743" s="833"/>
    </row>
    <row r="744" spans="1:19" ht="21" customHeight="1">
      <c r="A744" s="251"/>
      <c r="B744" s="251"/>
      <c r="C744" s="275">
        <v>15000000</v>
      </c>
      <c r="D744" s="278">
        <v>15</v>
      </c>
      <c r="E744" s="279" t="s">
        <v>821</v>
      </c>
      <c r="F744" s="251" t="s">
        <v>789</v>
      </c>
      <c r="G744" s="276">
        <f>Q737</f>
        <v>1469.6640000000002</v>
      </c>
      <c r="H744" s="274" t="s">
        <v>787</v>
      </c>
      <c r="I744" s="274">
        <f t="shared" si="20"/>
        <v>15</v>
      </c>
      <c r="J744" s="251" t="s">
        <v>248</v>
      </c>
      <c r="K744" s="251"/>
      <c r="L744" s="251" t="s">
        <v>783</v>
      </c>
      <c r="M744" s="280">
        <f t="shared" si="21"/>
        <v>15000000</v>
      </c>
      <c r="N744" s="251"/>
      <c r="O744" s="251" t="s">
        <v>784</v>
      </c>
      <c r="P744" s="251"/>
      <c r="Q744" s="281">
        <f t="shared" si="22"/>
        <v>0.147</v>
      </c>
      <c r="R744" s="274" t="s">
        <v>562</v>
      </c>
      <c r="S744" s="833"/>
    </row>
    <row r="745" spans="1:19" ht="21" customHeight="1">
      <c r="A745" s="251"/>
      <c r="B745" s="251"/>
      <c r="C745" s="275">
        <v>20000000</v>
      </c>
      <c r="D745" s="278">
        <v>16</v>
      </c>
      <c r="E745" s="279" t="s">
        <v>821</v>
      </c>
      <c r="F745" s="251" t="s">
        <v>789</v>
      </c>
      <c r="G745" s="276">
        <f>Q737</f>
        <v>1469.6640000000002</v>
      </c>
      <c r="H745" s="274" t="s">
        <v>787</v>
      </c>
      <c r="I745" s="274">
        <f t="shared" si="20"/>
        <v>16</v>
      </c>
      <c r="J745" s="251" t="s">
        <v>248</v>
      </c>
      <c r="K745" s="251"/>
      <c r="L745" s="251" t="s">
        <v>783</v>
      </c>
      <c r="M745" s="280">
        <f t="shared" si="21"/>
        <v>20000000</v>
      </c>
      <c r="N745" s="251"/>
      <c r="O745" s="251" t="s">
        <v>784</v>
      </c>
      <c r="P745" s="251"/>
      <c r="Q745" s="281">
        <f t="shared" si="22"/>
        <v>0.1176</v>
      </c>
      <c r="R745" s="274" t="s">
        <v>562</v>
      </c>
      <c r="S745" s="833"/>
    </row>
    <row r="746" spans="1:19" ht="21" customHeight="1">
      <c r="A746" s="251"/>
      <c r="B746" s="251"/>
      <c r="C746" s="275">
        <v>25000000</v>
      </c>
      <c r="D746" s="278">
        <v>16</v>
      </c>
      <c r="E746" s="279" t="s">
        <v>821</v>
      </c>
      <c r="F746" s="251" t="s">
        <v>789</v>
      </c>
      <c r="G746" s="276">
        <f>Q737</f>
        <v>1469.6640000000002</v>
      </c>
      <c r="H746" s="274" t="s">
        <v>787</v>
      </c>
      <c r="I746" s="274">
        <f t="shared" si="20"/>
        <v>16</v>
      </c>
      <c r="J746" s="251" t="s">
        <v>248</v>
      </c>
      <c r="K746" s="251"/>
      <c r="L746" s="251" t="s">
        <v>783</v>
      </c>
      <c r="M746" s="280">
        <f t="shared" si="21"/>
        <v>25000000</v>
      </c>
      <c r="N746" s="251"/>
      <c r="O746" s="251" t="s">
        <v>784</v>
      </c>
      <c r="P746" s="251"/>
      <c r="Q746" s="281">
        <f t="shared" si="22"/>
        <v>0.0941</v>
      </c>
      <c r="R746" s="274" t="s">
        <v>562</v>
      </c>
      <c r="S746" s="833"/>
    </row>
    <row r="747" spans="1:19" ht="21" customHeight="1">
      <c r="A747" s="251"/>
      <c r="B747" s="251"/>
      <c r="C747" s="251"/>
      <c r="D747" s="251"/>
      <c r="E747" s="251"/>
      <c r="F747" s="251"/>
      <c r="G747" s="251"/>
      <c r="H747" s="251"/>
      <c r="I747" s="251"/>
      <c r="J747" s="251"/>
      <c r="K747" s="251"/>
      <c r="L747" s="251"/>
      <c r="M747" s="282" t="s">
        <v>823</v>
      </c>
      <c r="N747" s="251"/>
      <c r="O747" s="251" t="s">
        <v>784</v>
      </c>
      <c r="P747" s="251"/>
      <c r="Q747" s="283">
        <f>ROUND((Q739+Q740+Q741+Q742+Q743+Q744+Q745+Q746)/8,4)</f>
        <v>0.5298</v>
      </c>
      <c r="R747" s="251"/>
      <c r="S747" s="833"/>
    </row>
    <row r="748" spans="1:19" ht="21" customHeight="1">
      <c r="A748" s="251"/>
      <c r="B748" s="251" t="s">
        <v>285</v>
      </c>
      <c r="C748" s="253" t="s">
        <v>172</v>
      </c>
      <c r="D748" s="251"/>
      <c r="E748" s="251"/>
      <c r="F748" s="251"/>
      <c r="G748" s="251"/>
      <c r="H748" s="251"/>
      <c r="I748" s="251"/>
      <c r="J748" s="251"/>
      <c r="K748" s="251"/>
      <c r="L748" s="251"/>
      <c r="M748" s="251"/>
      <c r="N748" s="251"/>
      <c r="O748" s="251"/>
      <c r="P748" s="251"/>
      <c r="Q748" s="251"/>
      <c r="R748" s="251"/>
      <c r="S748" s="833"/>
    </row>
    <row r="749" spans="1:19" ht="21" customHeight="1">
      <c r="A749" s="251"/>
      <c r="B749" s="251"/>
      <c r="C749" s="251" t="s">
        <v>275</v>
      </c>
      <c r="D749" s="251"/>
      <c r="E749" s="284">
        <f>E731</f>
        <v>2.7</v>
      </c>
      <c r="F749" s="251"/>
      <c r="G749" s="268" t="s">
        <v>276</v>
      </c>
      <c r="H749" s="251"/>
      <c r="I749" s="251"/>
      <c r="J749" s="251"/>
      <c r="K749" s="251"/>
      <c r="L749" s="251"/>
      <c r="M749" s="251"/>
      <c r="N749" s="251"/>
      <c r="O749" s="251"/>
      <c r="P749" s="251"/>
      <c r="Q749" s="251"/>
      <c r="R749" s="251"/>
      <c r="S749" s="833"/>
    </row>
    <row r="750" spans="1:19" ht="21" customHeight="1">
      <c r="A750" s="251"/>
      <c r="B750" s="251"/>
      <c r="C750" s="251" t="s">
        <v>286</v>
      </c>
      <c r="D750" s="251"/>
      <c r="E750" s="278">
        <v>32</v>
      </c>
      <c r="F750" s="251"/>
      <c r="G750" s="251" t="s">
        <v>152</v>
      </c>
      <c r="H750" s="251"/>
      <c r="I750" s="251"/>
      <c r="J750" s="251"/>
      <c r="K750" s="251"/>
      <c r="L750" s="251"/>
      <c r="M750" s="251"/>
      <c r="N750" s="251"/>
      <c r="O750" s="251"/>
      <c r="P750" s="251"/>
      <c r="Q750" s="251"/>
      <c r="R750" s="251"/>
      <c r="S750" s="833"/>
    </row>
    <row r="751" spans="1:19" ht="21" customHeight="1">
      <c r="A751" s="251"/>
      <c r="B751" s="251"/>
      <c r="C751" s="251" t="s">
        <v>278</v>
      </c>
      <c r="D751" s="251"/>
      <c r="E751" s="278">
        <f>E750*20</f>
        <v>640</v>
      </c>
      <c r="F751" s="251"/>
      <c r="G751" s="251" t="s">
        <v>279</v>
      </c>
      <c r="H751" s="251"/>
      <c r="I751" s="251"/>
      <c r="J751" s="251"/>
      <c r="K751" s="251"/>
      <c r="L751" s="251"/>
      <c r="M751" s="251"/>
      <c r="N751" s="251"/>
      <c r="O751" s="251"/>
      <c r="P751" s="251"/>
      <c r="Q751" s="251"/>
      <c r="R751" s="251"/>
      <c r="S751" s="833"/>
    </row>
    <row r="752" spans="1:19" ht="21" customHeight="1">
      <c r="A752" s="251"/>
      <c r="B752" s="251"/>
      <c r="C752" s="251" t="s">
        <v>280</v>
      </c>
      <c r="D752" s="251"/>
      <c r="E752" s="278">
        <f>E750*70</f>
        <v>2240</v>
      </c>
      <c r="F752" s="251"/>
      <c r="G752" s="251" t="s">
        <v>279</v>
      </c>
      <c r="H752" s="251" t="s">
        <v>281</v>
      </c>
      <c r="I752" s="251"/>
      <c r="J752" s="251"/>
      <c r="K752" s="251"/>
      <c r="L752" s="251" t="s">
        <v>789</v>
      </c>
      <c r="M752" s="280">
        <f>E751+E752</f>
        <v>2880</v>
      </c>
      <c r="N752" s="251" t="s">
        <v>279</v>
      </c>
      <c r="O752" s="251"/>
      <c r="P752" s="251"/>
      <c r="Q752" s="251"/>
      <c r="R752" s="251"/>
      <c r="S752" s="833"/>
    </row>
    <row r="753" spans="1:19" ht="21" customHeight="1">
      <c r="A753" s="251"/>
      <c r="B753" s="251"/>
      <c r="C753" s="251" t="s">
        <v>282</v>
      </c>
      <c r="D753" s="251"/>
      <c r="E753" s="251"/>
      <c r="F753" s="251" t="s">
        <v>789</v>
      </c>
      <c r="G753" s="276">
        <f>M752</f>
        <v>2880</v>
      </c>
      <c r="H753" s="251"/>
      <c r="I753" s="274" t="s">
        <v>787</v>
      </c>
      <c r="J753" s="251">
        <v>12</v>
      </c>
      <c r="K753" s="251"/>
      <c r="L753" s="274" t="s">
        <v>783</v>
      </c>
      <c r="M753" s="279">
        <v>1000</v>
      </c>
      <c r="N753" s="251"/>
      <c r="O753" s="251" t="s">
        <v>784</v>
      </c>
      <c r="P753" s="251"/>
      <c r="Q753" s="289">
        <f>G753*J753/1000</f>
        <v>34.56</v>
      </c>
      <c r="R753" s="274" t="s">
        <v>283</v>
      </c>
      <c r="S753" s="833"/>
    </row>
    <row r="754" spans="1:19" ht="21" customHeight="1">
      <c r="A754" s="251"/>
      <c r="B754" s="251"/>
      <c r="C754" s="251" t="s">
        <v>284</v>
      </c>
      <c r="D754" s="251"/>
      <c r="E754" s="251"/>
      <c r="F754" s="251" t="s">
        <v>789</v>
      </c>
      <c r="G754" s="290">
        <f>Q753</f>
        <v>34.56</v>
      </c>
      <c r="H754" s="251"/>
      <c r="I754" s="274" t="s">
        <v>787</v>
      </c>
      <c r="J754" s="280">
        <f>E749</f>
        <v>2.7</v>
      </c>
      <c r="K754" s="251"/>
      <c r="L754" s="274" t="s">
        <v>787</v>
      </c>
      <c r="M754" s="251">
        <v>30</v>
      </c>
      <c r="N754" s="251"/>
      <c r="O754" s="251" t="s">
        <v>784</v>
      </c>
      <c r="P754" s="251"/>
      <c r="Q754" s="276">
        <f>G754*J754*30</f>
        <v>2799.3600000000006</v>
      </c>
      <c r="R754" s="274" t="s">
        <v>156</v>
      </c>
      <c r="S754" s="833"/>
    </row>
    <row r="755" spans="1:19" ht="21" customHeight="1">
      <c r="A755" s="251"/>
      <c r="B755" s="251"/>
      <c r="C755" s="251" t="s">
        <v>142</v>
      </c>
      <c r="D755" s="251"/>
      <c r="E755" s="251"/>
      <c r="F755" s="251" t="s">
        <v>789</v>
      </c>
      <c r="G755" s="273">
        <f>Q754</f>
        <v>2799.3600000000006</v>
      </c>
      <c r="H755" s="251"/>
      <c r="I755" s="274" t="s">
        <v>787</v>
      </c>
      <c r="J755" s="251">
        <v>70</v>
      </c>
      <c r="K755" s="251"/>
      <c r="L755" s="274" t="s">
        <v>783</v>
      </c>
      <c r="M755" s="275">
        <v>100</v>
      </c>
      <c r="N755" s="251"/>
      <c r="O755" s="251" t="s">
        <v>784</v>
      </c>
      <c r="P755" s="251"/>
      <c r="Q755" s="291">
        <f>G755*J755/M755</f>
        <v>1959.5520000000004</v>
      </c>
      <c r="R755" s="274" t="s">
        <v>156</v>
      </c>
      <c r="S755" s="833"/>
    </row>
    <row r="756" spans="1:19" ht="21" customHeight="1">
      <c r="A756" s="838" t="s">
        <v>287</v>
      </c>
      <c r="B756" s="838"/>
      <c r="C756" s="838"/>
      <c r="D756" s="838"/>
      <c r="E756" s="838"/>
      <c r="F756" s="838"/>
      <c r="G756" s="838"/>
      <c r="H756" s="838"/>
      <c r="I756" s="838"/>
      <c r="J756" s="838"/>
      <c r="K756" s="838"/>
      <c r="L756" s="838"/>
      <c r="M756" s="838"/>
      <c r="N756" s="838"/>
      <c r="O756" s="838"/>
      <c r="P756" s="838"/>
      <c r="Q756" s="838"/>
      <c r="R756" s="838"/>
      <c r="S756" s="833"/>
    </row>
    <row r="757" spans="1:19" ht="21" customHeight="1">
      <c r="A757" s="251"/>
      <c r="B757" s="251"/>
      <c r="C757" s="251"/>
      <c r="D757" s="251"/>
      <c r="E757" s="251"/>
      <c r="F757" s="251"/>
      <c r="G757" s="251"/>
      <c r="H757" s="251"/>
      <c r="I757" s="251"/>
      <c r="J757" s="251"/>
      <c r="K757" s="251"/>
      <c r="L757" s="251"/>
      <c r="M757" s="251"/>
      <c r="N757" s="251"/>
      <c r="O757" s="251"/>
      <c r="P757" s="251"/>
      <c r="Q757" s="251"/>
      <c r="R757" s="251"/>
      <c r="S757" s="832" t="s">
        <v>288</v>
      </c>
    </row>
    <row r="758" spans="1:19" ht="21" customHeight="1">
      <c r="A758" s="251"/>
      <c r="B758" s="251" t="s">
        <v>562</v>
      </c>
      <c r="C758" s="274" t="s">
        <v>479</v>
      </c>
      <c r="D758" s="274" t="s">
        <v>480</v>
      </c>
      <c r="E758" s="274"/>
      <c r="F758" s="251"/>
      <c r="G758" s="840" t="s">
        <v>778</v>
      </c>
      <c r="H758" s="840"/>
      <c r="I758" s="840"/>
      <c r="J758" s="840"/>
      <c r="K758" s="840"/>
      <c r="L758" s="840"/>
      <c r="M758" s="840"/>
      <c r="N758" s="840"/>
      <c r="O758" s="840"/>
      <c r="P758" s="840"/>
      <c r="Q758" s="840"/>
      <c r="R758" s="840"/>
      <c r="S758" s="833"/>
    </row>
    <row r="759" spans="1:19" ht="21" customHeight="1">
      <c r="A759" s="251"/>
      <c r="B759" s="272" t="s">
        <v>788</v>
      </c>
      <c r="C759" s="275">
        <v>25000001</v>
      </c>
      <c r="D759" s="278">
        <v>16</v>
      </c>
      <c r="E759" s="279" t="s">
        <v>821</v>
      </c>
      <c r="F759" s="251" t="s">
        <v>789</v>
      </c>
      <c r="G759" s="276">
        <f>Q755</f>
        <v>1959.5520000000004</v>
      </c>
      <c r="H759" s="274" t="s">
        <v>787</v>
      </c>
      <c r="I759" s="274">
        <f>D759</f>
        <v>16</v>
      </c>
      <c r="J759" s="251" t="s">
        <v>248</v>
      </c>
      <c r="K759" s="251"/>
      <c r="L759" s="251" t="s">
        <v>783</v>
      </c>
      <c r="M759" s="280">
        <f>C759</f>
        <v>25000001</v>
      </c>
      <c r="N759" s="251"/>
      <c r="O759" s="251" t="s">
        <v>784</v>
      </c>
      <c r="P759" s="251"/>
      <c r="Q759" s="281">
        <f>ROUND(G759*D759*100/M759,4)</f>
        <v>0.1254</v>
      </c>
      <c r="R759" s="274" t="s">
        <v>562</v>
      </c>
      <c r="S759" s="833"/>
    </row>
    <row r="760" spans="1:19" ht="21" customHeight="1">
      <c r="A760" s="251"/>
      <c r="B760" s="251"/>
      <c r="C760" s="275">
        <v>30000000</v>
      </c>
      <c r="D760" s="278">
        <v>17</v>
      </c>
      <c r="E760" s="279" t="s">
        <v>821</v>
      </c>
      <c r="F760" s="251" t="s">
        <v>789</v>
      </c>
      <c r="G760" s="276">
        <f>Q755</f>
        <v>1959.5520000000004</v>
      </c>
      <c r="H760" s="274" t="s">
        <v>787</v>
      </c>
      <c r="I760" s="274">
        <f>D760</f>
        <v>17</v>
      </c>
      <c r="J760" s="251" t="s">
        <v>248</v>
      </c>
      <c r="K760" s="251"/>
      <c r="L760" s="251" t="s">
        <v>783</v>
      </c>
      <c r="M760" s="280">
        <f>C760</f>
        <v>30000000</v>
      </c>
      <c r="N760" s="251"/>
      <c r="O760" s="251" t="s">
        <v>784</v>
      </c>
      <c r="P760" s="251"/>
      <c r="Q760" s="281">
        <f>ROUND(G760*D760*100/M760,4)</f>
        <v>0.111</v>
      </c>
      <c r="R760" s="274" t="s">
        <v>562</v>
      </c>
      <c r="S760" s="833"/>
    </row>
    <row r="761" spans="1:19" ht="21" customHeight="1">
      <c r="A761" s="251"/>
      <c r="B761" s="251"/>
      <c r="C761" s="275">
        <v>40000000</v>
      </c>
      <c r="D761" s="278">
        <v>17</v>
      </c>
      <c r="E761" s="279" t="s">
        <v>821</v>
      </c>
      <c r="F761" s="251" t="s">
        <v>789</v>
      </c>
      <c r="G761" s="276">
        <f>Q755</f>
        <v>1959.5520000000004</v>
      </c>
      <c r="H761" s="274" t="s">
        <v>787</v>
      </c>
      <c r="I761" s="274">
        <f>D761</f>
        <v>17</v>
      </c>
      <c r="J761" s="251" t="s">
        <v>248</v>
      </c>
      <c r="K761" s="251"/>
      <c r="L761" s="251" t="s">
        <v>783</v>
      </c>
      <c r="M761" s="280">
        <f>C761</f>
        <v>40000000</v>
      </c>
      <c r="N761" s="251"/>
      <c r="O761" s="251" t="s">
        <v>784</v>
      </c>
      <c r="P761" s="251"/>
      <c r="Q761" s="281">
        <f>ROUND(G761*D761*100/M761,4)</f>
        <v>0.0833</v>
      </c>
      <c r="R761" s="274" t="s">
        <v>562</v>
      </c>
      <c r="S761" s="833"/>
    </row>
    <row r="762" spans="1:19" ht="21" customHeight="1">
      <c r="A762" s="251"/>
      <c r="B762" s="251"/>
      <c r="C762" s="275">
        <v>50000000</v>
      </c>
      <c r="D762" s="278">
        <v>18</v>
      </c>
      <c r="E762" s="279" t="s">
        <v>821</v>
      </c>
      <c r="F762" s="251" t="s">
        <v>789</v>
      </c>
      <c r="G762" s="276">
        <f>Q755</f>
        <v>1959.5520000000004</v>
      </c>
      <c r="H762" s="274" t="s">
        <v>787</v>
      </c>
      <c r="I762" s="274">
        <f>D762</f>
        <v>18</v>
      </c>
      <c r="J762" s="251" t="s">
        <v>248</v>
      </c>
      <c r="K762" s="251"/>
      <c r="L762" s="251" t="s">
        <v>783</v>
      </c>
      <c r="M762" s="280">
        <f>C762</f>
        <v>50000000</v>
      </c>
      <c r="N762" s="251"/>
      <c r="O762" s="251" t="s">
        <v>784</v>
      </c>
      <c r="P762" s="251"/>
      <c r="Q762" s="281">
        <f>ROUND(G762*D762*100/M762,4)</f>
        <v>0.0705</v>
      </c>
      <c r="R762" s="274" t="s">
        <v>562</v>
      </c>
      <c r="S762" s="833"/>
    </row>
    <row r="763" spans="1:19" ht="21" customHeight="1">
      <c r="A763" s="251"/>
      <c r="B763" s="251"/>
      <c r="C763" s="251"/>
      <c r="D763" s="251"/>
      <c r="E763" s="251"/>
      <c r="F763" s="251"/>
      <c r="G763" s="251"/>
      <c r="H763" s="251"/>
      <c r="I763" s="251"/>
      <c r="J763" s="251"/>
      <c r="K763" s="251"/>
      <c r="L763" s="251"/>
      <c r="M763" s="282" t="s">
        <v>823</v>
      </c>
      <c r="N763" s="251"/>
      <c r="O763" s="251" t="s">
        <v>784</v>
      </c>
      <c r="P763" s="251"/>
      <c r="Q763" s="283">
        <f>ROUND((Q759+Q760+Q761+Q762)/4,4)</f>
        <v>0.0976</v>
      </c>
      <c r="R763" s="251"/>
      <c r="S763" s="833"/>
    </row>
    <row r="764" spans="1:19" ht="21" customHeight="1">
      <c r="A764" s="251"/>
      <c r="B764" s="274" t="s">
        <v>289</v>
      </c>
      <c r="C764" s="253" t="s">
        <v>181</v>
      </c>
      <c r="D764" s="251"/>
      <c r="E764" s="251"/>
      <c r="F764" s="251"/>
      <c r="G764" s="251"/>
      <c r="H764" s="251"/>
      <c r="I764" s="251"/>
      <c r="J764" s="251"/>
      <c r="K764" s="251"/>
      <c r="L764" s="251"/>
      <c r="M764" s="251"/>
      <c r="N764" s="251"/>
      <c r="O764" s="251"/>
      <c r="P764" s="251"/>
      <c r="Q764" s="251"/>
      <c r="R764" s="251"/>
      <c r="S764" s="833"/>
    </row>
    <row r="765" spans="1:19" ht="21" customHeight="1">
      <c r="A765" s="251"/>
      <c r="B765" s="251"/>
      <c r="C765" s="251" t="s">
        <v>275</v>
      </c>
      <c r="D765" s="251"/>
      <c r="E765" s="284">
        <f>E731</f>
        <v>2.7</v>
      </c>
      <c r="F765" s="251"/>
      <c r="G765" s="268" t="s">
        <v>276</v>
      </c>
      <c r="H765" s="251"/>
      <c r="I765" s="251"/>
      <c r="J765" s="251"/>
      <c r="K765" s="251"/>
      <c r="L765" s="251"/>
      <c r="M765" s="251"/>
      <c r="N765" s="251"/>
      <c r="O765" s="251"/>
      <c r="P765" s="251"/>
      <c r="Q765" s="251"/>
      <c r="R765" s="251"/>
      <c r="S765" s="833"/>
    </row>
    <row r="766" spans="1:19" ht="21" customHeight="1">
      <c r="A766" s="251"/>
      <c r="B766" s="251"/>
      <c r="C766" s="251" t="s">
        <v>286</v>
      </c>
      <c r="D766" s="251"/>
      <c r="E766" s="278">
        <v>32</v>
      </c>
      <c r="F766" s="251"/>
      <c r="G766" s="251" t="s">
        <v>152</v>
      </c>
      <c r="H766" s="251"/>
      <c r="I766" s="251"/>
      <c r="J766" s="251"/>
      <c r="K766" s="251"/>
      <c r="L766" s="251"/>
      <c r="M766" s="251"/>
      <c r="N766" s="251"/>
      <c r="O766" s="251"/>
      <c r="P766" s="251"/>
      <c r="Q766" s="251"/>
      <c r="R766" s="251"/>
      <c r="S766" s="833"/>
    </row>
    <row r="767" spans="1:19" ht="21" customHeight="1">
      <c r="A767" s="251"/>
      <c r="B767" s="251"/>
      <c r="C767" s="251" t="s">
        <v>278</v>
      </c>
      <c r="D767" s="251"/>
      <c r="E767" s="278">
        <f>E766*20</f>
        <v>640</v>
      </c>
      <c r="F767" s="251"/>
      <c r="G767" s="251" t="s">
        <v>279</v>
      </c>
      <c r="H767" s="251"/>
      <c r="I767" s="251"/>
      <c r="J767" s="251"/>
      <c r="K767" s="251"/>
      <c r="L767" s="251"/>
      <c r="M767" s="251"/>
      <c r="N767" s="251"/>
      <c r="O767" s="251"/>
      <c r="P767" s="251"/>
      <c r="Q767" s="251"/>
      <c r="R767" s="251"/>
      <c r="S767" s="833"/>
    </row>
    <row r="768" spans="1:19" ht="21" customHeight="1">
      <c r="A768" s="251"/>
      <c r="B768" s="251"/>
      <c r="C768" s="251" t="s">
        <v>280</v>
      </c>
      <c r="D768" s="251"/>
      <c r="E768" s="278">
        <f>E766*70</f>
        <v>2240</v>
      </c>
      <c r="F768" s="251"/>
      <c r="G768" s="251" t="s">
        <v>279</v>
      </c>
      <c r="H768" s="251" t="s">
        <v>281</v>
      </c>
      <c r="I768" s="251"/>
      <c r="J768" s="251"/>
      <c r="K768" s="251"/>
      <c r="L768" s="251" t="s">
        <v>789</v>
      </c>
      <c r="M768" s="280">
        <f>E767+E768</f>
        <v>2880</v>
      </c>
      <c r="N768" s="251" t="s">
        <v>279</v>
      </c>
      <c r="O768" s="251"/>
      <c r="P768" s="251"/>
      <c r="Q768" s="251"/>
      <c r="R768" s="251"/>
      <c r="S768" s="833"/>
    </row>
    <row r="769" spans="1:19" ht="21" customHeight="1">
      <c r="A769" s="251"/>
      <c r="B769" s="251"/>
      <c r="C769" s="251" t="s">
        <v>282</v>
      </c>
      <c r="D769" s="251"/>
      <c r="E769" s="251"/>
      <c r="F769" s="251" t="s">
        <v>789</v>
      </c>
      <c r="G769" s="280">
        <f>M768</f>
        <v>2880</v>
      </c>
      <c r="H769" s="251"/>
      <c r="I769" s="274" t="s">
        <v>787</v>
      </c>
      <c r="J769" s="251">
        <v>12</v>
      </c>
      <c r="K769" s="251"/>
      <c r="L769" s="274" t="s">
        <v>783</v>
      </c>
      <c r="M769" s="279">
        <v>1000</v>
      </c>
      <c r="N769" s="251"/>
      <c r="O769" s="251" t="s">
        <v>784</v>
      </c>
      <c r="P769" s="251"/>
      <c r="Q769" s="289">
        <f>G769*J769/1000</f>
        <v>34.56</v>
      </c>
      <c r="R769" s="274" t="s">
        <v>283</v>
      </c>
      <c r="S769" s="833"/>
    </row>
    <row r="770" spans="1:19" ht="21" customHeight="1">
      <c r="A770" s="251"/>
      <c r="B770" s="251"/>
      <c r="C770" s="251" t="s">
        <v>284</v>
      </c>
      <c r="D770" s="251"/>
      <c r="E770" s="251"/>
      <c r="F770" s="251" t="s">
        <v>789</v>
      </c>
      <c r="G770" s="290">
        <f>Q769</f>
        <v>34.56</v>
      </c>
      <c r="H770" s="251"/>
      <c r="I770" s="251"/>
      <c r="J770" s="280">
        <f>E765</f>
        <v>2.7</v>
      </c>
      <c r="K770" s="251"/>
      <c r="L770" s="274" t="s">
        <v>787</v>
      </c>
      <c r="M770" s="251">
        <v>30</v>
      </c>
      <c r="N770" s="251"/>
      <c r="O770" s="251" t="s">
        <v>784</v>
      </c>
      <c r="P770" s="251"/>
      <c r="Q770" s="276">
        <f>G770*J770*30</f>
        <v>2799.3600000000006</v>
      </c>
      <c r="R770" s="274" t="s">
        <v>156</v>
      </c>
      <c r="S770" s="833"/>
    </row>
    <row r="771" spans="1:19" ht="21" customHeight="1">
      <c r="A771" s="251"/>
      <c r="B771" s="251"/>
      <c r="C771" s="251" t="s">
        <v>142</v>
      </c>
      <c r="D771" s="251"/>
      <c r="E771" s="251"/>
      <c r="F771" s="251" t="s">
        <v>789</v>
      </c>
      <c r="G771" s="273">
        <f>Q770</f>
        <v>2799.3600000000006</v>
      </c>
      <c r="H771" s="251"/>
      <c r="I771" s="274" t="s">
        <v>787</v>
      </c>
      <c r="J771" s="251">
        <v>70</v>
      </c>
      <c r="K771" s="251"/>
      <c r="L771" s="274" t="s">
        <v>783</v>
      </c>
      <c r="M771" s="275">
        <v>100</v>
      </c>
      <c r="N771" s="251"/>
      <c r="O771" s="251" t="s">
        <v>784</v>
      </c>
      <c r="P771" s="251"/>
      <c r="Q771" s="291">
        <f>G771*J771/M771</f>
        <v>1959.5520000000004</v>
      </c>
      <c r="R771" s="274" t="s">
        <v>156</v>
      </c>
      <c r="S771" s="833"/>
    </row>
    <row r="772" spans="1:19" ht="21" customHeight="1">
      <c r="A772" s="251"/>
      <c r="B772" s="251" t="s">
        <v>562</v>
      </c>
      <c r="C772" s="274" t="s">
        <v>479</v>
      </c>
      <c r="D772" s="274" t="s">
        <v>480</v>
      </c>
      <c r="E772" s="274"/>
      <c r="F772" s="251"/>
      <c r="G772" s="840" t="s">
        <v>778</v>
      </c>
      <c r="H772" s="840"/>
      <c r="I772" s="840"/>
      <c r="J772" s="840"/>
      <c r="K772" s="840"/>
      <c r="L772" s="840"/>
      <c r="M772" s="840"/>
      <c r="N772" s="840"/>
      <c r="O772" s="840"/>
      <c r="P772" s="840"/>
      <c r="Q772" s="840"/>
      <c r="R772" s="840"/>
      <c r="S772" s="833"/>
    </row>
    <row r="773" spans="1:19" ht="21" customHeight="1">
      <c r="A773" s="251"/>
      <c r="B773" s="272" t="s">
        <v>788</v>
      </c>
      <c r="C773" s="275">
        <v>50000001</v>
      </c>
      <c r="D773" s="278">
        <v>18</v>
      </c>
      <c r="E773" s="279" t="s">
        <v>821</v>
      </c>
      <c r="F773" s="251" t="s">
        <v>789</v>
      </c>
      <c r="G773" s="276">
        <f>Q771</f>
        <v>1959.5520000000004</v>
      </c>
      <c r="H773" s="274" t="s">
        <v>787</v>
      </c>
      <c r="I773" s="274">
        <f aca="true" t="shared" si="23" ref="I773:I778">D773</f>
        <v>18</v>
      </c>
      <c r="J773" s="251" t="s">
        <v>248</v>
      </c>
      <c r="K773" s="251"/>
      <c r="L773" s="251" t="s">
        <v>783</v>
      </c>
      <c r="M773" s="280">
        <f aca="true" t="shared" si="24" ref="M773:M778">C773</f>
        <v>50000001</v>
      </c>
      <c r="N773" s="251"/>
      <c r="O773" s="251" t="s">
        <v>784</v>
      </c>
      <c r="P773" s="251"/>
      <c r="Q773" s="281">
        <f aca="true" t="shared" si="25" ref="Q773:Q778">ROUND(G773*D773*100/M773,4)</f>
        <v>0.0705</v>
      </c>
      <c r="R773" s="274" t="s">
        <v>562</v>
      </c>
      <c r="S773" s="833"/>
    </row>
    <row r="774" spans="1:19" ht="21" customHeight="1">
      <c r="A774" s="251"/>
      <c r="B774" s="251"/>
      <c r="C774" s="275">
        <v>60000000</v>
      </c>
      <c r="D774" s="278">
        <v>18</v>
      </c>
      <c r="E774" s="279" t="s">
        <v>821</v>
      </c>
      <c r="F774" s="251" t="s">
        <v>789</v>
      </c>
      <c r="G774" s="276">
        <f>Q771</f>
        <v>1959.5520000000004</v>
      </c>
      <c r="H774" s="274" t="s">
        <v>787</v>
      </c>
      <c r="I774" s="274">
        <f t="shared" si="23"/>
        <v>18</v>
      </c>
      <c r="J774" s="251" t="s">
        <v>248</v>
      </c>
      <c r="K774" s="251"/>
      <c r="L774" s="251" t="s">
        <v>783</v>
      </c>
      <c r="M774" s="280">
        <f t="shared" si="24"/>
        <v>60000000</v>
      </c>
      <c r="N774" s="251"/>
      <c r="O774" s="251" t="s">
        <v>784</v>
      </c>
      <c r="P774" s="251"/>
      <c r="Q774" s="281">
        <f t="shared" si="25"/>
        <v>0.0588</v>
      </c>
      <c r="R774" s="274" t="s">
        <v>562</v>
      </c>
      <c r="S774" s="833"/>
    </row>
    <row r="775" spans="1:19" ht="21" customHeight="1">
      <c r="A775" s="251"/>
      <c r="B775" s="251"/>
      <c r="C775" s="275">
        <v>70000000</v>
      </c>
      <c r="D775" s="278">
        <v>20</v>
      </c>
      <c r="E775" s="279" t="s">
        <v>821</v>
      </c>
      <c r="F775" s="251" t="s">
        <v>789</v>
      </c>
      <c r="G775" s="276">
        <f>Q771</f>
        <v>1959.5520000000004</v>
      </c>
      <c r="H775" s="274" t="s">
        <v>787</v>
      </c>
      <c r="I775" s="274">
        <f t="shared" si="23"/>
        <v>20</v>
      </c>
      <c r="J775" s="251" t="s">
        <v>248</v>
      </c>
      <c r="K775" s="251"/>
      <c r="L775" s="251" t="s">
        <v>783</v>
      </c>
      <c r="M775" s="280">
        <f t="shared" si="24"/>
        <v>70000000</v>
      </c>
      <c r="N775" s="251"/>
      <c r="O775" s="251" t="s">
        <v>784</v>
      </c>
      <c r="P775" s="251"/>
      <c r="Q775" s="281">
        <f t="shared" si="25"/>
        <v>0.056</v>
      </c>
      <c r="R775" s="274" t="s">
        <v>562</v>
      </c>
      <c r="S775" s="833"/>
    </row>
    <row r="776" spans="1:19" ht="21" customHeight="1">
      <c r="A776" s="251"/>
      <c r="B776" s="251"/>
      <c r="C776" s="275">
        <v>80000000</v>
      </c>
      <c r="D776" s="278">
        <v>20</v>
      </c>
      <c r="E776" s="279" t="s">
        <v>821</v>
      </c>
      <c r="F776" s="251" t="s">
        <v>789</v>
      </c>
      <c r="G776" s="276">
        <f>Q771</f>
        <v>1959.5520000000004</v>
      </c>
      <c r="H776" s="274" t="s">
        <v>787</v>
      </c>
      <c r="I776" s="274">
        <f t="shared" si="23"/>
        <v>20</v>
      </c>
      <c r="J776" s="251" t="s">
        <v>248</v>
      </c>
      <c r="K776" s="251"/>
      <c r="L776" s="251" t="s">
        <v>783</v>
      </c>
      <c r="M776" s="280">
        <f t="shared" si="24"/>
        <v>80000000</v>
      </c>
      <c r="N776" s="251"/>
      <c r="O776" s="251" t="s">
        <v>784</v>
      </c>
      <c r="P776" s="251"/>
      <c r="Q776" s="281">
        <f t="shared" si="25"/>
        <v>0.049</v>
      </c>
      <c r="R776" s="274" t="s">
        <v>562</v>
      </c>
      <c r="S776" s="833"/>
    </row>
    <row r="777" spans="1:19" ht="21" customHeight="1">
      <c r="A777" s="251"/>
      <c r="B777" s="251"/>
      <c r="C777" s="275">
        <v>90000000</v>
      </c>
      <c r="D777" s="278">
        <v>20</v>
      </c>
      <c r="E777" s="279" t="s">
        <v>821</v>
      </c>
      <c r="F777" s="251" t="s">
        <v>789</v>
      </c>
      <c r="G777" s="276">
        <f>Q771</f>
        <v>1959.5520000000004</v>
      </c>
      <c r="H777" s="274" t="s">
        <v>787</v>
      </c>
      <c r="I777" s="274">
        <f t="shared" si="23"/>
        <v>20</v>
      </c>
      <c r="J777" s="251" t="s">
        <v>248</v>
      </c>
      <c r="K777" s="251"/>
      <c r="L777" s="251" t="s">
        <v>783</v>
      </c>
      <c r="M777" s="280">
        <f t="shared" si="24"/>
        <v>90000000</v>
      </c>
      <c r="N777" s="251"/>
      <c r="O777" s="251" t="s">
        <v>784</v>
      </c>
      <c r="P777" s="251"/>
      <c r="Q777" s="281">
        <f t="shared" si="25"/>
        <v>0.0435</v>
      </c>
      <c r="R777" s="274" t="s">
        <v>562</v>
      </c>
      <c r="S777" s="833"/>
    </row>
    <row r="778" spans="1:19" ht="21" customHeight="1">
      <c r="A778" s="251"/>
      <c r="B778" s="251"/>
      <c r="C778" s="275">
        <v>100000000</v>
      </c>
      <c r="D778" s="278">
        <v>20</v>
      </c>
      <c r="E778" s="279" t="s">
        <v>821</v>
      </c>
      <c r="F778" s="251" t="s">
        <v>789</v>
      </c>
      <c r="G778" s="276">
        <f>Q771</f>
        <v>1959.5520000000004</v>
      </c>
      <c r="H778" s="274" t="s">
        <v>787</v>
      </c>
      <c r="I778" s="274">
        <f t="shared" si="23"/>
        <v>20</v>
      </c>
      <c r="J778" s="251" t="s">
        <v>248</v>
      </c>
      <c r="K778" s="251"/>
      <c r="L778" s="251" t="s">
        <v>783</v>
      </c>
      <c r="M778" s="280">
        <f t="shared" si="24"/>
        <v>100000000</v>
      </c>
      <c r="N778" s="251"/>
      <c r="O778" s="251" t="s">
        <v>784</v>
      </c>
      <c r="P778" s="251"/>
      <c r="Q778" s="281">
        <f t="shared" si="25"/>
        <v>0.0392</v>
      </c>
      <c r="R778" s="274" t="s">
        <v>562</v>
      </c>
      <c r="S778" s="833"/>
    </row>
    <row r="779" spans="1:19" ht="21" customHeight="1">
      <c r="A779" s="251"/>
      <c r="B779" s="251"/>
      <c r="C779" s="251"/>
      <c r="D779" s="251"/>
      <c r="E779" s="251"/>
      <c r="F779" s="251"/>
      <c r="G779" s="251"/>
      <c r="H779" s="251"/>
      <c r="I779" s="251"/>
      <c r="J779" s="251"/>
      <c r="K779" s="251"/>
      <c r="L779" s="251"/>
      <c r="M779" s="282" t="s">
        <v>823</v>
      </c>
      <c r="N779" s="251"/>
      <c r="O779" s="251" t="s">
        <v>784</v>
      </c>
      <c r="P779" s="251"/>
      <c r="Q779" s="283">
        <f>ROUND((Q773+Q774+Q775+Q776+Q777+Q778)/6,4)</f>
        <v>0.0528</v>
      </c>
      <c r="R779" s="251"/>
      <c r="S779" s="833"/>
    </row>
    <row r="780" spans="1:19" ht="21" customHeight="1">
      <c r="A780" s="251"/>
      <c r="B780" s="251"/>
      <c r="C780" s="275" t="s">
        <v>562</v>
      </c>
      <c r="D780" s="275" t="s">
        <v>562</v>
      </c>
      <c r="E780" s="279" t="s">
        <v>562</v>
      </c>
      <c r="F780" s="251" t="s">
        <v>562</v>
      </c>
      <c r="G780" s="280" t="s">
        <v>562</v>
      </c>
      <c r="H780" s="274" t="s">
        <v>562</v>
      </c>
      <c r="I780" s="274" t="s">
        <v>562</v>
      </c>
      <c r="J780" s="251" t="s">
        <v>562</v>
      </c>
      <c r="K780" s="251" t="s">
        <v>562</v>
      </c>
      <c r="L780" s="251" t="s">
        <v>562</v>
      </c>
      <c r="M780" s="280" t="s">
        <v>562</v>
      </c>
      <c r="N780" s="251" t="s">
        <v>562</v>
      </c>
      <c r="O780" s="251" t="s">
        <v>562</v>
      </c>
      <c r="P780" s="251" t="s">
        <v>562</v>
      </c>
      <c r="Q780" s="281" t="s">
        <v>562</v>
      </c>
      <c r="R780" s="274" t="s">
        <v>562</v>
      </c>
      <c r="S780" s="833"/>
    </row>
    <row r="781" spans="1:19" ht="21" customHeight="1">
      <c r="A781" s="251"/>
      <c r="B781" s="251"/>
      <c r="C781" s="251"/>
      <c r="D781" s="251"/>
      <c r="E781" s="251"/>
      <c r="F781" s="251"/>
      <c r="G781" s="251"/>
      <c r="H781" s="251"/>
      <c r="I781" s="251"/>
      <c r="J781" s="251"/>
      <c r="K781" s="251"/>
      <c r="L781" s="251"/>
      <c r="M781" s="282" t="s">
        <v>562</v>
      </c>
      <c r="N781" s="251" t="s">
        <v>562</v>
      </c>
      <c r="O781" s="251" t="s">
        <v>562</v>
      </c>
      <c r="P781" s="251" t="s">
        <v>562</v>
      </c>
      <c r="Q781" s="282" t="s">
        <v>562</v>
      </c>
      <c r="R781" s="251"/>
      <c r="S781" s="833"/>
    </row>
    <row r="782" spans="1:19" ht="21" customHeight="1">
      <c r="A782" s="251"/>
      <c r="B782" s="251"/>
      <c r="C782" s="251"/>
      <c r="D782" s="251"/>
      <c r="E782" s="251"/>
      <c r="F782" s="251"/>
      <c r="G782" s="251"/>
      <c r="H782" s="251"/>
      <c r="I782" s="251"/>
      <c r="J782" s="251"/>
      <c r="K782" s="251"/>
      <c r="L782" s="251"/>
      <c r="M782" s="251"/>
      <c r="N782" s="251"/>
      <c r="O782" s="251"/>
      <c r="P782" s="251"/>
      <c r="Q782" s="251"/>
      <c r="R782" s="251"/>
      <c r="S782" s="833"/>
    </row>
    <row r="783" spans="1:19" ht="21" customHeight="1">
      <c r="A783" s="838" t="s">
        <v>290</v>
      </c>
      <c r="B783" s="838"/>
      <c r="C783" s="838"/>
      <c r="D783" s="838"/>
      <c r="E783" s="838"/>
      <c r="F783" s="838"/>
      <c r="G783" s="838"/>
      <c r="H783" s="838"/>
      <c r="I783" s="838"/>
      <c r="J783" s="838"/>
      <c r="K783" s="838"/>
      <c r="L783" s="838"/>
      <c r="M783" s="838"/>
      <c r="N783" s="838"/>
      <c r="O783" s="838"/>
      <c r="P783" s="838"/>
      <c r="Q783" s="838"/>
      <c r="R783" s="838"/>
      <c r="S783" s="833"/>
    </row>
    <row r="784" spans="1:19" ht="21" customHeight="1">
      <c r="A784" s="251"/>
      <c r="B784" s="251"/>
      <c r="C784" s="251"/>
      <c r="D784" s="251"/>
      <c r="E784" s="251"/>
      <c r="F784" s="251"/>
      <c r="G784" s="251"/>
      <c r="H784" s="251"/>
      <c r="I784" s="251"/>
      <c r="J784" s="251"/>
      <c r="K784" s="251"/>
      <c r="L784" s="251"/>
      <c r="M784" s="251"/>
      <c r="N784" s="251"/>
      <c r="O784" s="251"/>
      <c r="P784" s="251"/>
      <c r="Q784" s="251"/>
      <c r="R784" s="251"/>
      <c r="S784" s="832" t="s">
        <v>291</v>
      </c>
    </row>
    <row r="785" spans="1:19" ht="21" customHeight="1">
      <c r="A785" s="251"/>
      <c r="B785" s="274" t="s">
        <v>292</v>
      </c>
      <c r="C785" s="253" t="s">
        <v>185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1"/>
      <c r="Q785" s="251"/>
      <c r="R785" s="251"/>
      <c r="S785" s="833"/>
    </row>
    <row r="786" spans="1:19" ht="21" customHeight="1">
      <c r="A786" s="251"/>
      <c r="B786" s="251"/>
      <c r="C786" s="251" t="s">
        <v>275</v>
      </c>
      <c r="D786" s="251"/>
      <c r="E786" s="284">
        <f>E731</f>
        <v>2.7</v>
      </c>
      <c r="F786" s="251"/>
      <c r="G786" s="268" t="s">
        <v>276</v>
      </c>
      <c r="H786" s="251"/>
      <c r="I786" s="251"/>
      <c r="J786" s="251"/>
      <c r="K786" s="251"/>
      <c r="L786" s="251"/>
      <c r="M786" s="251"/>
      <c r="N786" s="251"/>
      <c r="O786" s="251"/>
      <c r="P786" s="251"/>
      <c r="Q786" s="251"/>
      <c r="R786" s="251"/>
      <c r="S786" s="833"/>
    </row>
    <row r="787" spans="1:19" ht="21" customHeight="1">
      <c r="A787" s="251"/>
      <c r="B787" s="251"/>
      <c r="C787" s="251" t="s">
        <v>293</v>
      </c>
      <c r="D787" s="251"/>
      <c r="E787" s="278">
        <v>48</v>
      </c>
      <c r="F787" s="251"/>
      <c r="G787" s="251" t="s">
        <v>152</v>
      </c>
      <c r="H787" s="251"/>
      <c r="I787" s="251"/>
      <c r="J787" s="251"/>
      <c r="K787" s="251"/>
      <c r="L787" s="251"/>
      <c r="M787" s="251"/>
      <c r="N787" s="251"/>
      <c r="O787" s="251"/>
      <c r="P787" s="251"/>
      <c r="Q787" s="251"/>
      <c r="R787" s="251"/>
      <c r="S787" s="833"/>
    </row>
    <row r="788" spans="1:19" ht="21" customHeight="1">
      <c r="A788" s="251"/>
      <c r="B788" s="251"/>
      <c r="C788" s="251" t="s">
        <v>278</v>
      </c>
      <c r="D788" s="251"/>
      <c r="E788" s="278">
        <f>E787*20</f>
        <v>960</v>
      </c>
      <c r="F788" s="251"/>
      <c r="G788" s="251" t="s">
        <v>279</v>
      </c>
      <c r="H788" s="251"/>
      <c r="I788" s="251"/>
      <c r="J788" s="251"/>
      <c r="K788" s="251"/>
      <c r="L788" s="251"/>
      <c r="M788" s="251"/>
      <c r="N788" s="251"/>
      <c r="O788" s="251"/>
      <c r="P788" s="251"/>
      <c r="Q788" s="251"/>
      <c r="R788" s="251"/>
      <c r="S788" s="833"/>
    </row>
    <row r="789" spans="1:19" ht="21" customHeight="1">
      <c r="A789" s="251"/>
      <c r="B789" s="251"/>
      <c r="C789" s="251" t="s">
        <v>280</v>
      </c>
      <c r="D789" s="251"/>
      <c r="E789" s="278">
        <f>E787*70</f>
        <v>3360</v>
      </c>
      <c r="F789" s="251"/>
      <c r="G789" s="251" t="s">
        <v>279</v>
      </c>
      <c r="H789" s="251" t="s">
        <v>281</v>
      </c>
      <c r="I789" s="251"/>
      <c r="J789" s="251"/>
      <c r="K789" s="251"/>
      <c r="L789" s="251" t="s">
        <v>789</v>
      </c>
      <c r="M789" s="280">
        <f>E788+E789</f>
        <v>4320</v>
      </c>
      <c r="N789" s="251" t="s">
        <v>279</v>
      </c>
      <c r="O789" s="251"/>
      <c r="P789" s="251"/>
      <c r="Q789" s="251"/>
      <c r="R789" s="251"/>
      <c r="S789" s="833"/>
    </row>
    <row r="790" spans="1:19" ht="21" customHeight="1">
      <c r="A790" s="251"/>
      <c r="B790" s="251"/>
      <c r="C790" s="251" t="s">
        <v>282</v>
      </c>
      <c r="D790" s="251"/>
      <c r="E790" s="251"/>
      <c r="F790" s="251" t="s">
        <v>789</v>
      </c>
      <c r="G790" s="276">
        <f>M789</f>
        <v>4320</v>
      </c>
      <c r="H790" s="251"/>
      <c r="I790" s="274" t="s">
        <v>787</v>
      </c>
      <c r="J790" s="251">
        <v>12</v>
      </c>
      <c r="K790" s="251"/>
      <c r="L790" s="274" t="s">
        <v>783</v>
      </c>
      <c r="M790" s="279">
        <v>1000</v>
      </c>
      <c r="N790" s="251"/>
      <c r="O790" s="251" t="s">
        <v>784</v>
      </c>
      <c r="P790" s="251"/>
      <c r="Q790" s="289">
        <f>G790*J790/1000</f>
        <v>51.84</v>
      </c>
      <c r="R790" s="274" t="s">
        <v>283</v>
      </c>
      <c r="S790" s="833"/>
    </row>
    <row r="791" spans="1:19" ht="21" customHeight="1">
      <c r="A791" s="251"/>
      <c r="B791" s="251"/>
      <c r="C791" s="251" t="s">
        <v>284</v>
      </c>
      <c r="D791" s="251"/>
      <c r="E791" s="251"/>
      <c r="F791" s="251" t="s">
        <v>789</v>
      </c>
      <c r="G791" s="290">
        <f>Q790</f>
        <v>51.84</v>
      </c>
      <c r="H791" s="251"/>
      <c r="I791" s="274" t="s">
        <v>787</v>
      </c>
      <c r="J791" s="280">
        <f>E786</f>
        <v>2.7</v>
      </c>
      <c r="K791" s="251"/>
      <c r="L791" s="274" t="s">
        <v>787</v>
      </c>
      <c r="M791" s="251">
        <v>30</v>
      </c>
      <c r="N791" s="251"/>
      <c r="O791" s="251" t="s">
        <v>784</v>
      </c>
      <c r="P791" s="251"/>
      <c r="Q791" s="276">
        <f>G791*J791*30</f>
        <v>4199.040000000001</v>
      </c>
      <c r="R791" s="274" t="s">
        <v>156</v>
      </c>
      <c r="S791" s="833"/>
    </row>
    <row r="792" spans="1:19" ht="21" customHeight="1">
      <c r="A792" s="251"/>
      <c r="B792" s="251"/>
      <c r="C792" s="251" t="s">
        <v>142</v>
      </c>
      <c r="D792" s="251"/>
      <c r="E792" s="251"/>
      <c r="F792" s="251" t="s">
        <v>789</v>
      </c>
      <c r="G792" s="273">
        <f>Q791</f>
        <v>4199.040000000001</v>
      </c>
      <c r="H792" s="251"/>
      <c r="I792" s="274" t="s">
        <v>787</v>
      </c>
      <c r="J792" s="251">
        <v>70</v>
      </c>
      <c r="K792" s="251"/>
      <c r="L792" s="274" t="s">
        <v>783</v>
      </c>
      <c r="M792" s="275">
        <v>100</v>
      </c>
      <c r="N792" s="251"/>
      <c r="O792" s="251" t="s">
        <v>784</v>
      </c>
      <c r="P792" s="251"/>
      <c r="Q792" s="291">
        <f>G792*J792/M792</f>
        <v>2939.3280000000004</v>
      </c>
      <c r="R792" s="274" t="s">
        <v>156</v>
      </c>
      <c r="S792" s="833"/>
    </row>
    <row r="793" spans="1:19" ht="21" customHeight="1">
      <c r="A793" s="251"/>
      <c r="B793" s="251" t="s">
        <v>562</v>
      </c>
      <c r="C793" s="274" t="s">
        <v>479</v>
      </c>
      <c r="D793" s="274" t="s">
        <v>480</v>
      </c>
      <c r="E793" s="274"/>
      <c r="F793" s="251"/>
      <c r="G793" s="840" t="s">
        <v>778</v>
      </c>
      <c r="H793" s="840"/>
      <c r="I793" s="840"/>
      <c r="J793" s="840"/>
      <c r="K793" s="840"/>
      <c r="L793" s="840"/>
      <c r="M793" s="840"/>
      <c r="N793" s="840"/>
      <c r="O793" s="840"/>
      <c r="P793" s="840"/>
      <c r="Q793" s="840"/>
      <c r="R793" s="840"/>
      <c r="S793" s="833"/>
    </row>
    <row r="794" spans="1:19" ht="21" customHeight="1">
      <c r="A794" s="251"/>
      <c r="B794" s="272" t="s">
        <v>788</v>
      </c>
      <c r="C794" s="275">
        <v>100000001</v>
      </c>
      <c r="D794" s="278">
        <v>20</v>
      </c>
      <c r="E794" s="279" t="s">
        <v>821</v>
      </c>
      <c r="F794" s="251" t="s">
        <v>789</v>
      </c>
      <c r="G794" s="276">
        <f>Q792</f>
        <v>2939.3280000000004</v>
      </c>
      <c r="H794" s="274" t="s">
        <v>787</v>
      </c>
      <c r="I794" s="274">
        <f>D794</f>
        <v>20</v>
      </c>
      <c r="J794" s="251" t="s">
        <v>248</v>
      </c>
      <c r="K794" s="251"/>
      <c r="L794" s="251" t="s">
        <v>783</v>
      </c>
      <c r="M794" s="280">
        <f>C794</f>
        <v>100000001</v>
      </c>
      <c r="N794" s="251"/>
      <c r="O794" s="251" t="s">
        <v>784</v>
      </c>
      <c r="P794" s="251"/>
      <c r="Q794" s="281">
        <f>ROUND(G794*D794*100/M794,4)</f>
        <v>0.0588</v>
      </c>
      <c r="R794" s="274" t="s">
        <v>562</v>
      </c>
      <c r="S794" s="833"/>
    </row>
    <row r="795" spans="1:19" ht="21" customHeight="1">
      <c r="A795" s="251"/>
      <c r="B795" s="251"/>
      <c r="C795" s="275">
        <v>150000000</v>
      </c>
      <c r="D795" s="278">
        <v>22</v>
      </c>
      <c r="E795" s="279" t="s">
        <v>821</v>
      </c>
      <c r="F795" s="251" t="s">
        <v>789</v>
      </c>
      <c r="G795" s="276">
        <f>Q792</f>
        <v>2939.3280000000004</v>
      </c>
      <c r="H795" s="274" t="s">
        <v>787</v>
      </c>
      <c r="I795" s="274">
        <f>D795</f>
        <v>22</v>
      </c>
      <c r="J795" s="251" t="s">
        <v>248</v>
      </c>
      <c r="K795" s="251"/>
      <c r="L795" s="251" t="s">
        <v>783</v>
      </c>
      <c r="M795" s="280">
        <f>C795</f>
        <v>150000000</v>
      </c>
      <c r="N795" s="251"/>
      <c r="O795" s="251" t="s">
        <v>784</v>
      </c>
      <c r="P795" s="251"/>
      <c r="Q795" s="281">
        <f>ROUND(G795*D795*100/M795,4)</f>
        <v>0.0431</v>
      </c>
      <c r="R795" s="274" t="s">
        <v>562</v>
      </c>
      <c r="S795" s="833"/>
    </row>
    <row r="796" spans="1:19" ht="21" customHeight="1">
      <c r="A796" s="251"/>
      <c r="B796" s="251"/>
      <c r="C796" s="275">
        <v>200000000</v>
      </c>
      <c r="D796" s="278">
        <v>24</v>
      </c>
      <c r="E796" s="279" t="s">
        <v>821</v>
      </c>
      <c r="F796" s="251" t="s">
        <v>789</v>
      </c>
      <c r="G796" s="276">
        <f>Q792</f>
        <v>2939.3280000000004</v>
      </c>
      <c r="H796" s="274" t="s">
        <v>787</v>
      </c>
      <c r="I796" s="274">
        <f>D796</f>
        <v>24</v>
      </c>
      <c r="J796" s="251" t="s">
        <v>248</v>
      </c>
      <c r="K796" s="251"/>
      <c r="L796" s="251" t="s">
        <v>783</v>
      </c>
      <c r="M796" s="280">
        <f>C796</f>
        <v>200000000</v>
      </c>
      <c r="N796" s="251"/>
      <c r="O796" s="251" t="s">
        <v>784</v>
      </c>
      <c r="P796" s="251"/>
      <c r="Q796" s="281">
        <f>ROUND(G796*D796*100/M796,4)</f>
        <v>0.0353</v>
      </c>
      <c r="R796" s="274" t="s">
        <v>562</v>
      </c>
      <c r="S796" s="833"/>
    </row>
    <row r="797" spans="1:19" ht="21" customHeight="1">
      <c r="A797" s="251"/>
      <c r="B797" s="251"/>
      <c r="C797" s="275">
        <v>250000000</v>
      </c>
      <c r="D797" s="278">
        <v>28</v>
      </c>
      <c r="E797" s="279" t="s">
        <v>821</v>
      </c>
      <c r="F797" s="251" t="s">
        <v>789</v>
      </c>
      <c r="G797" s="276">
        <f>Q792</f>
        <v>2939.3280000000004</v>
      </c>
      <c r="H797" s="274" t="s">
        <v>787</v>
      </c>
      <c r="I797" s="274">
        <f>D797</f>
        <v>28</v>
      </c>
      <c r="J797" s="251" t="s">
        <v>248</v>
      </c>
      <c r="K797" s="251"/>
      <c r="L797" s="251" t="s">
        <v>783</v>
      </c>
      <c r="M797" s="280">
        <f>C797</f>
        <v>250000000</v>
      </c>
      <c r="N797" s="251"/>
      <c r="O797" s="251" t="s">
        <v>784</v>
      </c>
      <c r="P797" s="251"/>
      <c r="Q797" s="281">
        <f>ROUND(G797*D797*100/M797,4)</f>
        <v>0.0329</v>
      </c>
      <c r="R797" s="274" t="s">
        <v>562</v>
      </c>
      <c r="S797" s="833"/>
    </row>
    <row r="798" spans="1:19" ht="21" customHeight="1">
      <c r="A798" s="251"/>
      <c r="B798" s="251"/>
      <c r="C798" s="275">
        <v>300000000</v>
      </c>
      <c r="D798" s="278">
        <v>30</v>
      </c>
      <c r="E798" s="279" t="s">
        <v>821</v>
      </c>
      <c r="F798" s="251" t="s">
        <v>789</v>
      </c>
      <c r="G798" s="276">
        <f>Q792</f>
        <v>2939.3280000000004</v>
      </c>
      <c r="H798" s="274" t="s">
        <v>787</v>
      </c>
      <c r="I798" s="274">
        <f>D798</f>
        <v>30</v>
      </c>
      <c r="J798" s="251" t="s">
        <v>248</v>
      </c>
      <c r="K798" s="251"/>
      <c r="L798" s="251" t="s">
        <v>783</v>
      </c>
      <c r="M798" s="280">
        <f>C798</f>
        <v>300000000</v>
      </c>
      <c r="N798" s="251"/>
      <c r="O798" s="251" t="s">
        <v>784</v>
      </c>
      <c r="P798" s="251"/>
      <c r="Q798" s="281">
        <f>ROUND(G798*D798*100/M798,4)</f>
        <v>0.0294</v>
      </c>
      <c r="R798" s="251"/>
      <c r="S798" s="833"/>
    </row>
    <row r="799" spans="1:19" ht="21" customHeight="1">
      <c r="A799" s="251"/>
      <c r="B799" s="251"/>
      <c r="C799" s="251"/>
      <c r="D799" s="251"/>
      <c r="E799" s="251"/>
      <c r="F799" s="251"/>
      <c r="G799" s="251"/>
      <c r="H799" s="251"/>
      <c r="I799" s="251"/>
      <c r="J799" s="251"/>
      <c r="K799" s="251"/>
      <c r="L799" s="251"/>
      <c r="M799" s="282" t="s">
        <v>823</v>
      </c>
      <c r="N799" s="251"/>
      <c r="O799" s="251" t="s">
        <v>784</v>
      </c>
      <c r="P799" s="251"/>
      <c r="Q799" s="283">
        <f>ROUND((Q794+Q795+Q796+Q797+Q798)/5,4)</f>
        <v>0.0399</v>
      </c>
      <c r="R799" s="251"/>
      <c r="S799" s="833"/>
    </row>
    <row r="800" spans="1:19" ht="21" customHeight="1">
      <c r="A800" s="251"/>
      <c r="B800" s="274" t="s">
        <v>294</v>
      </c>
      <c r="C800" s="253" t="s">
        <v>189</v>
      </c>
      <c r="D800" s="251"/>
      <c r="E800" s="251"/>
      <c r="F800" s="251"/>
      <c r="G800" s="251"/>
      <c r="H800" s="251"/>
      <c r="I800" s="251"/>
      <c r="J800" s="251"/>
      <c r="K800" s="251"/>
      <c r="L800" s="251"/>
      <c r="M800" s="251"/>
      <c r="N800" s="251"/>
      <c r="O800" s="251"/>
      <c r="P800" s="251"/>
      <c r="Q800" s="251"/>
      <c r="R800" s="251"/>
      <c r="S800" s="833"/>
    </row>
    <row r="801" spans="1:19" ht="21" customHeight="1">
      <c r="A801" s="251"/>
      <c r="B801" s="251"/>
      <c r="C801" s="251" t="s">
        <v>275</v>
      </c>
      <c r="D801" s="251"/>
      <c r="E801" s="284">
        <f>E731</f>
        <v>2.7</v>
      </c>
      <c r="F801" s="251"/>
      <c r="G801" s="268" t="s">
        <v>276</v>
      </c>
      <c r="H801" s="251"/>
      <c r="I801" s="251"/>
      <c r="J801" s="251"/>
      <c r="K801" s="251"/>
      <c r="L801" s="251"/>
      <c r="M801" s="251"/>
      <c r="N801" s="251"/>
      <c r="O801" s="251"/>
      <c r="P801" s="251"/>
      <c r="Q801" s="251"/>
      <c r="R801" s="251"/>
      <c r="S801" s="833"/>
    </row>
    <row r="802" spans="1:19" ht="21" customHeight="1">
      <c r="A802" s="251"/>
      <c r="B802" s="251"/>
      <c r="C802" s="251" t="s">
        <v>295</v>
      </c>
      <c r="D802" s="251"/>
      <c r="E802" s="278">
        <v>80</v>
      </c>
      <c r="F802" s="251"/>
      <c r="G802" s="251" t="s">
        <v>152</v>
      </c>
      <c r="H802" s="251"/>
      <c r="I802" s="251"/>
      <c r="J802" s="251"/>
      <c r="K802" s="251"/>
      <c r="L802" s="251"/>
      <c r="M802" s="251"/>
      <c r="N802" s="251"/>
      <c r="O802" s="251"/>
      <c r="P802" s="251"/>
      <c r="Q802" s="251"/>
      <c r="R802" s="251"/>
      <c r="S802" s="833"/>
    </row>
    <row r="803" spans="1:19" ht="21" customHeight="1">
      <c r="A803" s="251"/>
      <c r="B803" s="251"/>
      <c r="C803" s="251" t="s">
        <v>278</v>
      </c>
      <c r="D803" s="251"/>
      <c r="E803" s="278">
        <f>E802*20</f>
        <v>1600</v>
      </c>
      <c r="F803" s="251"/>
      <c r="G803" s="251" t="s">
        <v>279</v>
      </c>
      <c r="H803" s="251"/>
      <c r="I803" s="251"/>
      <c r="J803" s="251"/>
      <c r="K803" s="251"/>
      <c r="L803" s="251"/>
      <c r="M803" s="251"/>
      <c r="N803" s="251"/>
      <c r="O803" s="251"/>
      <c r="P803" s="251"/>
      <c r="Q803" s="251"/>
      <c r="R803" s="251"/>
      <c r="S803" s="833"/>
    </row>
    <row r="804" spans="1:19" ht="21" customHeight="1">
      <c r="A804" s="251"/>
      <c r="B804" s="251"/>
      <c r="C804" s="251" t="s">
        <v>280</v>
      </c>
      <c r="D804" s="251"/>
      <c r="E804" s="278">
        <f>E802*70</f>
        <v>5600</v>
      </c>
      <c r="F804" s="251"/>
      <c r="G804" s="251" t="s">
        <v>279</v>
      </c>
      <c r="H804" s="251" t="s">
        <v>281</v>
      </c>
      <c r="I804" s="251"/>
      <c r="J804" s="251"/>
      <c r="K804" s="251"/>
      <c r="L804" s="251" t="s">
        <v>789</v>
      </c>
      <c r="M804" s="280">
        <f>E803+E804</f>
        <v>7200</v>
      </c>
      <c r="N804" s="251" t="s">
        <v>279</v>
      </c>
      <c r="O804" s="251"/>
      <c r="P804" s="251"/>
      <c r="Q804" s="251"/>
      <c r="R804" s="251"/>
      <c r="S804" s="833"/>
    </row>
    <row r="805" spans="1:19" ht="21" customHeight="1">
      <c r="A805" s="251"/>
      <c r="B805" s="251"/>
      <c r="C805" s="251" t="s">
        <v>282</v>
      </c>
      <c r="D805" s="251"/>
      <c r="E805" s="251"/>
      <c r="F805" s="251" t="s">
        <v>789</v>
      </c>
      <c r="G805" s="276">
        <f>M804</f>
        <v>7200</v>
      </c>
      <c r="H805" s="251"/>
      <c r="I805" s="274" t="s">
        <v>787</v>
      </c>
      <c r="J805" s="251">
        <v>12</v>
      </c>
      <c r="K805" s="251"/>
      <c r="L805" s="274" t="s">
        <v>783</v>
      </c>
      <c r="M805" s="279">
        <v>1000</v>
      </c>
      <c r="N805" s="251"/>
      <c r="O805" s="251" t="s">
        <v>784</v>
      </c>
      <c r="P805" s="251"/>
      <c r="Q805" s="289">
        <f>G805*J805/1000</f>
        <v>86.4</v>
      </c>
      <c r="R805" s="274" t="s">
        <v>283</v>
      </c>
      <c r="S805" s="833"/>
    </row>
    <row r="806" spans="1:19" ht="21" customHeight="1">
      <c r="A806" s="251"/>
      <c r="B806" s="251"/>
      <c r="C806" s="251" t="s">
        <v>284</v>
      </c>
      <c r="D806" s="251"/>
      <c r="E806" s="251"/>
      <c r="F806" s="251" t="s">
        <v>789</v>
      </c>
      <c r="G806" s="290">
        <f>Q805</f>
        <v>86.4</v>
      </c>
      <c r="H806" s="251"/>
      <c r="I806" s="274" t="s">
        <v>787</v>
      </c>
      <c r="J806" s="280">
        <f>E801</f>
        <v>2.7</v>
      </c>
      <c r="K806" s="251"/>
      <c r="L806" s="274" t="s">
        <v>787</v>
      </c>
      <c r="M806" s="251">
        <v>30</v>
      </c>
      <c r="N806" s="251"/>
      <c r="O806" s="251" t="s">
        <v>784</v>
      </c>
      <c r="P806" s="251"/>
      <c r="Q806" s="276">
        <f>G806*J806*30</f>
        <v>6998.400000000001</v>
      </c>
      <c r="R806" s="274" t="s">
        <v>156</v>
      </c>
      <c r="S806" s="833"/>
    </row>
    <row r="807" spans="1:19" ht="21" customHeight="1">
      <c r="A807" s="251"/>
      <c r="B807" s="251"/>
      <c r="C807" s="251" t="s">
        <v>142</v>
      </c>
      <c r="D807" s="251"/>
      <c r="E807" s="251"/>
      <c r="F807" s="251" t="s">
        <v>789</v>
      </c>
      <c r="G807" s="273">
        <f>Q806</f>
        <v>6998.400000000001</v>
      </c>
      <c r="H807" s="251"/>
      <c r="I807" s="274" t="s">
        <v>787</v>
      </c>
      <c r="J807" s="251">
        <v>70</v>
      </c>
      <c r="K807" s="251"/>
      <c r="L807" s="274" t="s">
        <v>783</v>
      </c>
      <c r="M807" s="275">
        <v>100</v>
      </c>
      <c r="N807" s="251"/>
      <c r="O807" s="251" t="s">
        <v>784</v>
      </c>
      <c r="P807" s="251"/>
      <c r="Q807" s="291">
        <f>G807*J807/M807</f>
        <v>4898.880000000001</v>
      </c>
      <c r="R807" s="274" t="s">
        <v>156</v>
      </c>
      <c r="S807" s="833"/>
    </row>
    <row r="808" spans="1:19" ht="21" customHeight="1">
      <c r="A808" s="251"/>
      <c r="B808" s="251"/>
      <c r="C808" s="251"/>
      <c r="D808" s="251"/>
      <c r="E808" s="251"/>
      <c r="F808" s="251"/>
      <c r="G808" s="251"/>
      <c r="H808" s="251"/>
      <c r="I808" s="251"/>
      <c r="J808" s="251"/>
      <c r="K808" s="251"/>
      <c r="L808" s="251"/>
      <c r="M808" s="251"/>
      <c r="N808" s="251"/>
      <c r="O808" s="251"/>
      <c r="P808" s="251"/>
      <c r="Q808" s="251"/>
      <c r="R808" s="251"/>
      <c r="S808" s="833"/>
    </row>
    <row r="809" spans="1:19" ht="21" customHeight="1">
      <c r="A809" s="251"/>
      <c r="B809" s="251"/>
      <c r="C809" s="251"/>
      <c r="D809" s="251"/>
      <c r="E809" s="251"/>
      <c r="F809" s="251"/>
      <c r="G809" s="251"/>
      <c r="H809" s="251"/>
      <c r="I809" s="251"/>
      <c r="J809" s="251"/>
      <c r="K809" s="251"/>
      <c r="L809" s="251"/>
      <c r="M809" s="251"/>
      <c r="N809" s="277"/>
      <c r="O809" s="277"/>
      <c r="P809" s="277"/>
      <c r="Q809" s="277"/>
      <c r="R809" s="277"/>
      <c r="S809" s="833"/>
    </row>
    <row r="810" spans="1:19" ht="21" customHeight="1">
      <c r="A810" s="838" t="s">
        <v>296</v>
      </c>
      <c r="B810" s="838"/>
      <c r="C810" s="838"/>
      <c r="D810" s="838"/>
      <c r="E810" s="838"/>
      <c r="F810" s="838"/>
      <c r="G810" s="838"/>
      <c r="H810" s="838"/>
      <c r="I810" s="838"/>
      <c r="J810" s="838"/>
      <c r="K810" s="838"/>
      <c r="L810" s="838"/>
      <c r="M810" s="838"/>
      <c r="N810" s="838"/>
      <c r="O810" s="838"/>
      <c r="P810" s="838"/>
      <c r="Q810" s="838"/>
      <c r="R810" s="838"/>
      <c r="S810" s="833"/>
    </row>
    <row r="811" spans="1:19" ht="21" customHeight="1">
      <c r="A811" s="251"/>
      <c r="B811" s="251" t="s">
        <v>562</v>
      </c>
      <c r="C811" s="274" t="s">
        <v>479</v>
      </c>
      <c r="D811" s="274" t="s">
        <v>480</v>
      </c>
      <c r="E811" s="274"/>
      <c r="F811" s="251"/>
      <c r="G811" s="840" t="s">
        <v>778</v>
      </c>
      <c r="H811" s="840"/>
      <c r="I811" s="840"/>
      <c r="J811" s="840"/>
      <c r="K811" s="840"/>
      <c r="L811" s="840"/>
      <c r="M811" s="840"/>
      <c r="N811" s="840"/>
      <c r="O811" s="840"/>
      <c r="P811" s="840"/>
      <c r="Q811" s="840"/>
      <c r="R811" s="840"/>
      <c r="S811" s="832" t="s">
        <v>297</v>
      </c>
    </row>
    <row r="812" spans="1:19" ht="21" customHeight="1">
      <c r="A812" s="251"/>
      <c r="B812" s="272" t="s">
        <v>788</v>
      </c>
      <c r="C812" s="275">
        <v>300000001</v>
      </c>
      <c r="D812" s="278">
        <v>30</v>
      </c>
      <c r="E812" s="279" t="s">
        <v>821</v>
      </c>
      <c r="F812" s="251" t="s">
        <v>789</v>
      </c>
      <c r="G812" s="276">
        <f>Q807</f>
        <v>4898.880000000001</v>
      </c>
      <c r="H812" s="274" t="s">
        <v>787</v>
      </c>
      <c r="I812" s="274">
        <f>D812</f>
        <v>30</v>
      </c>
      <c r="J812" s="251" t="s">
        <v>248</v>
      </c>
      <c r="K812" s="251"/>
      <c r="L812" s="251" t="s">
        <v>783</v>
      </c>
      <c r="M812" s="280">
        <f>C812</f>
        <v>300000001</v>
      </c>
      <c r="N812" s="251"/>
      <c r="O812" s="251" t="s">
        <v>784</v>
      </c>
      <c r="P812" s="251"/>
      <c r="Q812" s="281">
        <f>ROUND(G812*D812*100/M812,4)</f>
        <v>0.049</v>
      </c>
      <c r="R812" s="274" t="s">
        <v>562</v>
      </c>
      <c r="S812" s="833"/>
    </row>
    <row r="813" spans="1:19" ht="21" customHeight="1">
      <c r="A813" s="251"/>
      <c r="B813" s="251"/>
      <c r="C813" s="275">
        <v>350000000</v>
      </c>
      <c r="D813" s="278">
        <v>32</v>
      </c>
      <c r="E813" s="279" t="s">
        <v>821</v>
      </c>
      <c r="F813" s="251" t="s">
        <v>789</v>
      </c>
      <c r="G813" s="276">
        <f>Q807</f>
        <v>4898.880000000001</v>
      </c>
      <c r="H813" s="274" t="s">
        <v>787</v>
      </c>
      <c r="I813" s="274">
        <f>D813</f>
        <v>32</v>
      </c>
      <c r="J813" s="251" t="s">
        <v>248</v>
      </c>
      <c r="K813" s="251"/>
      <c r="L813" s="251" t="s">
        <v>783</v>
      </c>
      <c r="M813" s="280">
        <f>C813</f>
        <v>350000000</v>
      </c>
      <c r="N813" s="251"/>
      <c r="O813" s="251" t="s">
        <v>784</v>
      </c>
      <c r="P813" s="251"/>
      <c r="Q813" s="281">
        <f>ROUND(G813*D813*100/M813,4)</f>
        <v>0.0448</v>
      </c>
      <c r="R813" s="274" t="s">
        <v>562</v>
      </c>
      <c r="S813" s="833"/>
    </row>
    <row r="814" spans="1:19" ht="21" customHeight="1">
      <c r="A814" s="251"/>
      <c r="B814" s="251"/>
      <c r="C814" s="275">
        <v>400000000</v>
      </c>
      <c r="D814" s="278">
        <v>36</v>
      </c>
      <c r="E814" s="279" t="s">
        <v>821</v>
      </c>
      <c r="F814" s="251" t="s">
        <v>789</v>
      </c>
      <c r="G814" s="276">
        <f>Q807</f>
        <v>4898.880000000001</v>
      </c>
      <c r="H814" s="274" t="s">
        <v>787</v>
      </c>
      <c r="I814" s="274">
        <f>D814</f>
        <v>36</v>
      </c>
      <c r="J814" s="251" t="s">
        <v>248</v>
      </c>
      <c r="K814" s="251"/>
      <c r="L814" s="251" t="s">
        <v>783</v>
      </c>
      <c r="M814" s="280">
        <f>C814</f>
        <v>400000000</v>
      </c>
      <c r="N814" s="251"/>
      <c r="O814" s="251" t="s">
        <v>784</v>
      </c>
      <c r="P814" s="251"/>
      <c r="Q814" s="281">
        <f>ROUND(G814*D814*100/M814,4)</f>
        <v>0.0441</v>
      </c>
      <c r="R814" s="274" t="s">
        <v>562</v>
      </c>
      <c r="S814" s="833"/>
    </row>
    <row r="815" spans="1:19" ht="21" customHeight="1">
      <c r="A815" s="251"/>
      <c r="B815" s="251"/>
      <c r="C815" s="275">
        <v>500000000</v>
      </c>
      <c r="D815" s="278">
        <v>36</v>
      </c>
      <c r="E815" s="279" t="s">
        <v>821</v>
      </c>
      <c r="F815" s="251" t="s">
        <v>789</v>
      </c>
      <c r="G815" s="276">
        <f>Q807</f>
        <v>4898.880000000001</v>
      </c>
      <c r="H815" s="274" t="s">
        <v>787</v>
      </c>
      <c r="I815" s="274">
        <f>D815</f>
        <v>36</v>
      </c>
      <c r="J815" s="251" t="s">
        <v>248</v>
      </c>
      <c r="K815" s="251"/>
      <c r="L815" s="251" t="s">
        <v>783</v>
      </c>
      <c r="M815" s="280">
        <f>C815</f>
        <v>500000000</v>
      </c>
      <c r="N815" s="251"/>
      <c r="O815" s="251" t="s">
        <v>784</v>
      </c>
      <c r="P815" s="251"/>
      <c r="Q815" s="281">
        <f>ROUND(G815*D815*100/M815,4)</f>
        <v>0.0353</v>
      </c>
      <c r="R815" s="274" t="s">
        <v>562</v>
      </c>
      <c r="S815" s="833"/>
    </row>
    <row r="816" spans="1:19" ht="21" customHeight="1">
      <c r="A816" s="251"/>
      <c r="B816" s="251"/>
      <c r="C816" s="251"/>
      <c r="D816" s="251"/>
      <c r="E816" s="251"/>
      <c r="F816" s="251"/>
      <c r="G816" s="251"/>
      <c r="H816" s="251"/>
      <c r="I816" s="251"/>
      <c r="J816" s="251"/>
      <c r="K816" s="251"/>
      <c r="L816" s="251"/>
      <c r="M816" s="282" t="s">
        <v>823</v>
      </c>
      <c r="N816" s="251"/>
      <c r="O816" s="251" t="s">
        <v>784</v>
      </c>
      <c r="P816" s="251"/>
      <c r="Q816" s="283">
        <f>ROUND((Q812+Q813+Q814+Q815)/4,4)</f>
        <v>0.0433</v>
      </c>
      <c r="R816" s="251"/>
      <c r="S816" s="833"/>
    </row>
    <row r="817" spans="1:19" ht="21" customHeight="1">
      <c r="A817" s="251"/>
      <c r="B817" s="274" t="s">
        <v>298</v>
      </c>
      <c r="C817" s="253" t="s">
        <v>268</v>
      </c>
      <c r="D817" s="251"/>
      <c r="E817" s="251"/>
      <c r="F817" s="251"/>
      <c r="G817" s="251"/>
      <c r="H817" s="251"/>
      <c r="I817" s="251"/>
      <c r="J817" s="251"/>
      <c r="K817" s="251"/>
      <c r="L817" s="251"/>
      <c r="M817" s="251"/>
      <c r="N817" s="251"/>
      <c r="O817" s="251"/>
      <c r="P817" s="251"/>
      <c r="Q817" s="251"/>
      <c r="R817" s="251"/>
      <c r="S817" s="833"/>
    </row>
    <row r="818" spans="1:19" ht="21" customHeight="1">
      <c r="A818" s="251"/>
      <c r="B818" s="251"/>
      <c r="C818" s="251" t="s">
        <v>299</v>
      </c>
      <c r="D818" s="251"/>
      <c r="E818" s="284">
        <f>E731</f>
        <v>2.7</v>
      </c>
      <c r="F818" s="251"/>
      <c r="G818" s="268" t="s">
        <v>276</v>
      </c>
      <c r="H818" s="251"/>
      <c r="I818" s="251"/>
      <c r="J818" s="251"/>
      <c r="K818" s="251"/>
      <c r="L818" s="251"/>
      <c r="M818" s="251"/>
      <c r="N818" s="251"/>
      <c r="O818" s="251"/>
      <c r="P818" s="251"/>
      <c r="Q818" s="251"/>
      <c r="R818" s="251"/>
      <c r="S818" s="833"/>
    </row>
    <row r="819" spans="1:19" ht="21" customHeight="1">
      <c r="A819" s="251"/>
      <c r="B819" s="251"/>
      <c r="C819" s="251" t="s">
        <v>300</v>
      </c>
      <c r="D819" s="251"/>
      <c r="E819" s="278">
        <v>120</v>
      </c>
      <c r="F819" s="251"/>
      <c r="G819" s="251" t="s">
        <v>152</v>
      </c>
      <c r="H819" s="251"/>
      <c r="I819" s="251"/>
      <c r="J819" s="251"/>
      <c r="K819" s="251"/>
      <c r="L819" s="251"/>
      <c r="M819" s="251"/>
      <c r="N819" s="251"/>
      <c r="O819" s="251"/>
      <c r="P819" s="251"/>
      <c r="Q819" s="251"/>
      <c r="R819" s="251"/>
      <c r="S819" s="833"/>
    </row>
    <row r="820" spans="1:19" ht="21" customHeight="1">
      <c r="A820" s="251"/>
      <c r="B820" s="251"/>
      <c r="C820" s="251" t="s">
        <v>278</v>
      </c>
      <c r="D820" s="251"/>
      <c r="E820" s="278">
        <f>E819*20</f>
        <v>2400</v>
      </c>
      <c r="F820" s="251"/>
      <c r="G820" s="251" t="s">
        <v>279</v>
      </c>
      <c r="H820" s="251"/>
      <c r="I820" s="251"/>
      <c r="J820" s="251"/>
      <c r="K820" s="251"/>
      <c r="L820" s="251"/>
      <c r="M820" s="251"/>
      <c r="N820" s="251"/>
      <c r="O820" s="251"/>
      <c r="P820" s="251"/>
      <c r="Q820" s="251"/>
      <c r="R820" s="251"/>
      <c r="S820" s="833"/>
    </row>
    <row r="821" spans="1:19" ht="21" customHeight="1">
      <c r="A821" s="251"/>
      <c r="B821" s="251"/>
      <c r="C821" s="251" t="s">
        <v>280</v>
      </c>
      <c r="D821" s="251"/>
      <c r="E821" s="278">
        <f>E819*70</f>
        <v>8400</v>
      </c>
      <c r="F821" s="251"/>
      <c r="G821" s="251" t="s">
        <v>279</v>
      </c>
      <c r="H821" s="251" t="s">
        <v>281</v>
      </c>
      <c r="I821" s="251"/>
      <c r="J821" s="251"/>
      <c r="K821" s="251"/>
      <c r="L821" s="251" t="s">
        <v>789</v>
      </c>
      <c r="M821" s="280">
        <f>E820+E821</f>
        <v>10800</v>
      </c>
      <c r="N821" s="251" t="s">
        <v>279</v>
      </c>
      <c r="O821" s="251"/>
      <c r="P821" s="251"/>
      <c r="Q821" s="251"/>
      <c r="R821" s="251"/>
      <c r="S821" s="833"/>
    </row>
    <row r="822" spans="1:19" ht="21" customHeight="1">
      <c r="A822" s="251"/>
      <c r="B822" s="251"/>
      <c r="C822" s="251" t="s">
        <v>282</v>
      </c>
      <c r="D822" s="251"/>
      <c r="E822" s="251"/>
      <c r="F822" s="251" t="s">
        <v>789</v>
      </c>
      <c r="G822" s="276">
        <f>E821</f>
        <v>8400</v>
      </c>
      <c r="H822" s="251"/>
      <c r="I822" s="274" t="s">
        <v>787</v>
      </c>
      <c r="J822" s="251">
        <v>12</v>
      </c>
      <c r="K822" s="251"/>
      <c r="L822" s="274" t="s">
        <v>783</v>
      </c>
      <c r="M822" s="279">
        <v>1000</v>
      </c>
      <c r="N822" s="251"/>
      <c r="O822" s="251" t="s">
        <v>784</v>
      </c>
      <c r="P822" s="251"/>
      <c r="Q822" s="289">
        <f>G822*J822/1000</f>
        <v>100.8</v>
      </c>
      <c r="R822" s="274" t="s">
        <v>283</v>
      </c>
      <c r="S822" s="833"/>
    </row>
    <row r="823" spans="1:19" ht="21" customHeight="1">
      <c r="A823" s="251"/>
      <c r="B823" s="251"/>
      <c r="C823" s="251" t="s">
        <v>284</v>
      </c>
      <c r="D823" s="251"/>
      <c r="E823" s="251"/>
      <c r="F823" s="251" t="s">
        <v>789</v>
      </c>
      <c r="G823" s="290">
        <f>Q822</f>
        <v>100.8</v>
      </c>
      <c r="H823" s="251"/>
      <c r="I823" s="274" t="s">
        <v>787</v>
      </c>
      <c r="J823" s="280">
        <f>E818</f>
        <v>2.7</v>
      </c>
      <c r="K823" s="251"/>
      <c r="L823" s="274" t="s">
        <v>787</v>
      </c>
      <c r="M823" s="251">
        <v>30</v>
      </c>
      <c r="N823" s="251"/>
      <c r="O823" s="251" t="s">
        <v>784</v>
      </c>
      <c r="P823" s="251"/>
      <c r="Q823" s="276">
        <f>G823*J823*30</f>
        <v>8164.800000000001</v>
      </c>
      <c r="R823" s="274" t="s">
        <v>156</v>
      </c>
      <c r="S823" s="833"/>
    </row>
    <row r="824" spans="1:19" ht="21" customHeight="1">
      <c r="A824" s="251"/>
      <c r="B824" s="251"/>
      <c r="C824" s="251" t="s">
        <v>142</v>
      </c>
      <c r="D824" s="251"/>
      <c r="E824" s="251"/>
      <c r="F824" s="251" t="s">
        <v>789</v>
      </c>
      <c r="G824" s="273">
        <f>Q823</f>
        <v>8164.800000000001</v>
      </c>
      <c r="H824" s="251"/>
      <c r="I824" s="274" t="s">
        <v>787</v>
      </c>
      <c r="J824" s="251">
        <v>70</v>
      </c>
      <c r="K824" s="251"/>
      <c r="L824" s="274" t="s">
        <v>783</v>
      </c>
      <c r="M824" s="275">
        <v>100</v>
      </c>
      <c r="N824" s="251"/>
      <c r="O824" s="251" t="s">
        <v>784</v>
      </c>
      <c r="P824" s="251"/>
      <c r="Q824" s="291">
        <f>G824*J824/M824</f>
        <v>5715.3600000000015</v>
      </c>
      <c r="R824" s="274" t="s">
        <v>156</v>
      </c>
      <c r="S824" s="833"/>
    </row>
    <row r="825" spans="1:19" ht="21" customHeight="1">
      <c r="A825" s="251"/>
      <c r="B825" s="251" t="s">
        <v>562</v>
      </c>
      <c r="C825" s="274" t="s">
        <v>479</v>
      </c>
      <c r="D825" s="274" t="s">
        <v>480</v>
      </c>
      <c r="E825" s="274"/>
      <c r="F825" s="251"/>
      <c r="G825" s="840" t="s">
        <v>778</v>
      </c>
      <c r="H825" s="840"/>
      <c r="I825" s="840"/>
      <c r="J825" s="840"/>
      <c r="K825" s="840"/>
      <c r="L825" s="840"/>
      <c r="M825" s="840"/>
      <c r="N825" s="840"/>
      <c r="O825" s="840"/>
      <c r="P825" s="840"/>
      <c r="Q825" s="840"/>
      <c r="R825" s="840"/>
      <c r="S825" s="833"/>
    </row>
    <row r="826" spans="1:19" ht="21" customHeight="1">
      <c r="A826" s="251"/>
      <c r="B826" s="272" t="s">
        <v>788</v>
      </c>
      <c r="C826" s="275">
        <v>500000001</v>
      </c>
      <c r="D826" s="278">
        <v>36</v>
      </c>
      <c r="E826" s="279" t="s">
        <v>821</v>
      </c>
      <c r="F826" s="251" t="s">
        <v>789</v>
      </c>
      <c r="G826" s="276">
        <f>Q824</f>
        <v>5715.3600000000015</v>
      </c>
      <c r="H826" s="274" t="s">
        <v>787</v>
      </c>
      <c r="I826" s="274">
        <f>D826</f>
        <v>36</v>
      </c>
      <c r="J826" s="251" t="s">
        <v>248</v>
      </c>
      <c r="K826" s="251"/>
      <c r="L826" s="251" t="s">
        <v>783</v>
      </c>
      <c r="M826" s="280">
        <f>C826</f>
        <v>500000001</v>
      </c>
      <c r="N826" s="251"/>
      <c r="O826" s="251" t="s">
        <v>784</v>
      </c>
      <c r="P826" s="251"/>
      <c r="Q826" s="281">
        <f>ROUND(G826*D826*100/M826,4)</f>
        <v>0.0412</v>
      </c>
      <c r="R826" s="274" t="s">
        <v>562</v>
      </c>
      <c r="S826" s="833"/>
    </row>
    <row r="827" spans="1:19" ht="21" customHeight="1">
      <c r="A827" s="251"/>
      <c r="B827" s="251"/>
      <c r="C827" s="275">
        <v>1000000000</v>
      </c>
      <c r="D827" s="278">
        <v>40</v>
      </c>
      <c r="E827" s="279" t="s">
        <v>821</v>
      </c>
      <c r="F827" s="251" t="s">
        <v>789</v>
      </c>
      <c r="G827" s="276">
        <f>Q824</f>
        <v>5715.3600000000015</v>
      </c>
      <c r="H827" s="274" t="s">
        <v>787</v>
      </c>
      <c r="I827" s="274">
        <f>D827</f>
        <v>40</v>
      </c>
      <c r="J827" s="251" t="s">
        <v>248</v>
      </c>
      <c r="K827" s="251"/>
      <c r="L827" s="251" t="s">
        <v>783</v>
      </c>
      <c r="M827" s="280">
        <f>C827</f>
        <v>1000000000</v>
      </c>
      <c r="N827" s="251"/>
      <c r="O827" s="251" t="s">
        <v>784</v>
      </c>
      <c r="P827" s="251"/>
      <c r="Q827" s="281">
        <f>ROUND(G827*D827*100/M827,4)</f>
        <v>0.0229</v>
      </c>
      <c r="R827" s="274" t="s">
        <v>562</v>
      </c>
      <c r="S827" s="833"/>
    </row>
    <row r="828" spans="1:19" ht="21" customHeight="1">
      <c r="A828" s="251"/>
      <c r="B828" s="251"/>
      <c r="C828" s="251"/>
      <c r="D828" s="251"/>
      <c r="E828" s="251"/>
      <c r="F828" s="251"/>
      <c r="G828" s="251"/>
      <c r="H828" s="251"/>
      <c r="I828" s="251"/>
      <c r="J828" s="251"/>
      <c r="K828" s="251"/>
      <c r="L828" s="251"/>
      <c r="M828" s="282" t="s">
        <v>823</v>
      </c>
      <c r="N828" s="251"/>
      <c r="O828" s="251" t="s">
        <v>784</v>
      </c>
      <c r="P828" s="251"/>
      <c r="Q828" s="283">
        <f>ROUND((Q826+Q827)/2,4)</f>
        <v>0.0321</v>
      </c>
      <c r="R828" s="251"/>
      <c r="S828" s="833"/>
    </row>
    <row r="829" spans="1:19" ht="21" customHeight="1">
      <c r="A829" s="251"/>
      <c r="B829" s="251" t="s">
        <v>562</v>
      </c>
      <c r="C829" s="253" t="s">
        <v>301</v>
      </c>
      <c r="D829" s="251"/>
      <c r="E829" s="251"/>
      <c r="F829" s="251"/>
      <c r="G829" s="251"/>
      <c r="H829" s="251"/>
      <c r="I829" s="251"/>
      <c r="J829" s="251"/>
      <c r="K829" s="251"/>
      <c r="L829" s="251"/>
      <c r="M829" s="251"/>
      <c r="N829" s="251"/>
      <c r="O829" s="251"/>
      <c r="P829" s="251"/>
      <c r="Q829" s="251"/>
      <c r="R829" s="251"/>
      <c r="S829" s="833"/>
    </row>
    <row r="830" spans="1:19" ht="21" customHeight="1">
      <c r="A830" s="292"/>
      <c r="B830" s="292" t="s">
        <v>562</v>
      </c>
      <c r="C830" s="293" t="s">
        <v>846</v>
      </c>
      <c r="D830" s="839" t="s">
        <v>679</v>
      </c>
      <c r="E830" s="839"/>
      <c r="F830" s="292"/>
      <c r="G830" s="294" t="s">
        <v>481</v>
      </c>
      <c r="H830" s="295"/>
      <c r="I830" s="295"/>
      <c r="J830" s="295" t="s">
        <v>482</v>
      </c>
      <c r="K830" s="295"/>
      <c r="L830" s="295"/>
      <c r="M830" s="295"/>
      <c r="N830" s="295"/>
      <c r="O830" s="295"/>
      <c r="P830" s="295"/>
      <c r="Q830" s="293" t="s">
        <v>561</v>
      </c>
      <c r="R830" s="295"/>
      <c r="S830" s="833"/>
    </row>
    <row r="831" spans="1:19" ht="21" customHeight="1">
      <c r="A831" s="292"/>
      <c r="B831" s="296" t="s">
        <v>788</v>
      </c>
      <c r="C831" s="297">
        <v>500000</v>
      </c>
      <c r="D831" s="292">
        <v>6</v>
      </c>
      <c r="E831" s="298" t="s">
        <v>681</v>
      </c>
      <c r="F831" s="292" t="s">
        <v>789</v>
      </c>
      <c r="G831" s="299">
        <f>Q640</f>
        <v>0.0575</v>
      </c>
      <c r="H831" s="295"/>
      <c r="I831" s="295" t="s">
        <v>233</v>
      </c>
      <c r="J831" s="300">
        <f>Q747</f>
        <v>0.5298</v>
      </c>
      <c r="K831" s="292"/>
      <c r="L831" s="295"/>
      <c r="M831" s="295"/>
      <c r="N831" s="292"/>
      <c r="O831" s="292" t="s">
        <v>784</v>
      </c>
      <c r="P831" s="292"/>
      <c r="Q831" s="301">
        <f aca="true" t="shared" si="26" ref="Q831:Q836">G831+J831</f>
        <v>0.5873</v>
      </c>
      <c r="R831" s="292"/>
      <c r="S831" s="833"/>
    </row>
    <row r="832" spans="1:19" ht="21" customHeight="1">
      <c r="A832" s="292"/>
      <c r="B832" s="292"/>
      <c r="C832" s="297">
        <v>1000000</v>
      </c>
      <c r="D832" s="292">
        <v>6</v>
      </c>
      <c r="E832" s="298" t="s">
        <v>681</v>
      </c>
      <c r="F832" s="292" t="s">
        <v>789</v>
      </c>
      <c r="G832" s="299">
        <f>Q640</f>
        <v>0.0575</v>
      </c>
      <c r="H832" s="295"/>
      <c r="I832" s="295" t="s">
        <v>233</v>
      </c>
      <c r="J832" s="300">
        <f>Q747</f>
        <v>0.5298</v>
      </c>
      <c r="K832" s="292"/>
      <c r="L832" s="295"/>
      <c r="M832" s="295"/>
      <c r="N832" s="292"/>
      <c r="O832" s="292" t="s">
        <v>784</v>
      </c>
      <c r="P832" s="292"/>
      <c r="Q832" s="301">
        <f t="shared" si="26"/>
        <v>0.5873</v>
      </c>
      <c r="R832" s="292"/>
      <c r="S832" s="833"/>
    </row>
    <row r="833" spans="1:19" ht="21" customHeight="1">
      <c r="A833" s="292"/>
      <c r="B833" s="292"/>
      <c r="C833" s="297">
        <v>2000000</v>
      </c>
      <c r="D833" s="292">
        <v>9</v>
      </c>
      <c r="E833" s="298" t="s">
        <v>681</v>
      </c>
      <c r="F833" s="292" t="s">
        <v>789</v>
      </c>
      <c r="G833" s="299">
        <f>Q640</f>
        <v>0.0575</v>
      </c>
      <c r="H833" s="295"/>
      <c r="I833" s="295" t="s">
        <v>233</v>
      </c>
      <c r="J833" s="300">
        <f>Q747</f>
        <v>0.5298</v>
      </c>
      <c r="K833" s="292"/>
      <c r="L833" s="295"/>
      <c r="M833" s="295"/>
      <c r="N833" s="292"/>
      <c r="O833" s="292" t="s">
        <v>784</v>
      </c>
      <c r="P833" s="292"/>
      <c r="Q833" s="301">
        <f t="shared" si="26"/>
        <v>0.5873</v>
      </c>
      <c r="R833" s="292"/>
      <c r="S833" s="833"/>
    </row>
    <row r="834" spans="1:19" ht="21" customHeight="1">
      <c r="A834" s="292"/>
      <c r="B834" s="292"/>
      <c r="C834" s="297">
        <v>5000000</v>
      </c>
      <c r="D834" s="292">
        <v>12</v>
      </c>
      <c r="E834" s="298" t="s">
        <v>681</v>
      </c>
      <c r="F834" s="292" t="s">
        <v>789</v>
      </c>
      <c r="G834" s="299">
        <f>Q640</f>
        <v>0.0575</v>
      </c>
      <c r="H834" s="295"/>
      <c r="I834" s="295" t="s">
        <v>233</v>
      </c>
      <c r="J834" s="300">
        <f>Q747</f>
        <v>0.5298</v>
      </c>
      <c r="K834" s="292"/>
      <c r="L834" s="295"/>
      <c r="M834" s="295"/>
      <c r="N834" s="292"/>
      <c r="O834" s="292" t="s">
        <v>784</v>
      </c>
      <c r="P834" s="292"/>
      <c r="Q834" s="301">
        <f t="shared" si="26"/>
        <v>0.5873</v>
      </c>
      <c r="R834" s="292"/>
      <c r="S834" s="833"/>
    </row>
    <row r="835" spans="1:19" ht="21" customHeight="1">
      <c r="A835" s="292"/>
      <c r="B835" s="292"/>
      <c r="C835" s="297">
        <v>10000000</v>
      </c>
      <c r="D835" s="292">
        <v>15</v>
      </c>
      <c r="E835" s="298" t="s">
        <v>681</v>
      </c>
      <c r="F835" s="292" t="s">
        <v>789</v>
      </c>
      <c r="G835" s="299">
        <f>Q640</f>
        <v>0.0575</v>
      </c>
      <c r="H835" s="295"/>
      <c r="I835" s="295" t="s">
        <v>233</v>
      </c>
      <c r="J835" s="300">
        <f>Q747</f>
        <v>0.5298</v>
      </c>
      <c r="K835" s="292"/>
      <c r="L835" s="295"/>
      <c r="M835" s="295"/>
      <c r="N835" s="292"/>
      <c r="O835" s="292" t="s">
        <v>784</v>
      </c>
      <c r="P835" s="292"/>
      <c r="Q835" s="301">
        <f t="shared" si="26"/>
        <v>0.5873</v>
      </c>
      <c r="R835" s="292"/>
      <c r="S835" s="833"/>
    </row>
    <row r="836" spans="1:19" ht="21" customHeight="1">
      <c r="A836" s="292"/>
      <c r="B836" s="292"/>
      <c r="C836" s="297">
        <v>15000000</v>
      </c>
      <c r="D836" s="292">
        <v>15</v>
      </c>
      <c r="E836" s="298" t="s">
        <v>681</v>
      </c>
      <c r="F836" s="292" t="s">
        <v>789</v>
      </c>
      <c r="G836" s="299">
        <f>Q654</f>
        <v>0.0107</v>
      </c>
      <c r="H836" s="295"/>
      <c r="I836" s="295" t="s">
        <v>233</v>
      </c>
      <c r="J836" s="300">
        <f>Q747</f>
        <v>0.5298</v>
      </c>
      <c r="K836" s="292"/>
      <c r="L836" s="295"/>
      <c r="M836" s="295"/>
      <c r="N836" s="292"/>
      <c r="O836" s="292" t="s">
        <v>784</v>
      </c>
      <c r="P836" s="292"/>
      <c r="Q836" s="301">
        <f t="shared" si="26"/>
        <v>0.5405000000000001</v>
      </c>
      <c r="R836" s="292"/>
      <c r="S836" s="833"/>
    </row>
    <row r="837" spans="1:19" ht="21" customHeight="1">
      <c r="A837" s="838" t="s">
        <v>302</v>
      </c>
      <c r="B837" s="838"/>
      <c r="C837" s="838"/>
      <c r="D837" s="838"/>
      <c r="E837" s="838"/>
      <c r="F837" s="838"/>
      <c r="G837" s="838"/>
      <c r="H837" s="838"/>
      <c r="I837" s="838"/>
      <c r="J837" s="838"/>
      <c r="K837" s="838"/>
      <c r="L837" s="838"/>
      <c r="M837" s="838"/>
      <c r="N837" s="838"/>
      <c r="O837" s="838"/>
      <c r="P837" s="838"/>
      <c r="Q837" s="838"/>
      <c r="R837" s="838"/>
      <c r="S837" s="833"/>
    </row>
    <row r="838" spans="1:19" ht="21" customHeight="1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3"/>
      <c r="O838" s="293"/>
      <c r="P838" s="293"/>
      <c r="Q838" s="293"/>
      <c r="R838" s="293"/>
      <c r="S838" s="832" t="s">
        <v>303</v>
      </c>
    </row>
    <row r="839" spans="1:19" ht="21" customHeight="1">
      <c r="A839" s="292"/>
      <c r="B839" s="292" t="s">
        <v>562</v>
      </c>
      <c r="C839" s="293" t="s">
        <v>846</v>
      </c>
      <c r="D839" s="839" t="s">
        <v>679</v>
      </c>
      <c r="E839" s="839"/>
      <c r="F839" s="292"/>
      <c r="G839" s="294" t="s">
        <v>481</v>
      </c>
      <c r="H839" s="295"/>
      <c r="I839" s="295"/>
      <c r="J839" s="295" t="s">
        <v>482</v>
      </c>
      <c r="K839" s="295"/>
      <c r="L839" s="295"/>
      <c r="M839" s="295"/>
      <c r="N839" s="295"/>
      <c r="O839" s="295"/>
      <c r="P839" s="295"/>
      <c r="Q839" s="293" t="s">
        <v>561</v>
      </c>
      <c r="R839" s="295"/>
      <c r="S839" s="833"/>
    </row>
    <row r="840" spans="1:19" ht="21" customHeight="1">
      <c r="A840" s="292"/>
      <c r="B840" s="296" t="s">
        <v>788</v>
      </c>
      <c r="C840" s="297">
        <v>20000000</v>
      </c>
      <c r="D840" s="292">
        <v>16</v>
      </c>
      <c r="E840" s="298" t="s">
        <v>681</v>
      </c>
      <c r="F840" s="292" t="s">
        <v>789</v>
      </c>
      <c r="G840" s="299">
        <f>Q654</f>
        <v>0.0107</v>
      </c>
      <c r="H840" s="295"/>
      <c r="I840" s="295" t="s">
        <v>233</v>
      </c>
      <c r="J840" s="300">
        <f>Q747</f>
        <v>0.5298</v>
      </c>
      <c r="K840" s="292"/>
      <c r="L840" s="295"/>
      <c r="M840" s="295"/>
      <c r="N840" s="292"/>
      <c r="O840" s="292" t="s">
        <v>784</v>
      </c>
      <c r="P840" s="292"/>
      <c r="Q840" s="301">
        <f aca="true" t="shared" si="27" ref="Q840:Q857">G840+J840</f>
        <v>0.5405000000000001</v>
      </c>
      <c r="R840" s="292"/>
      <c r="S840" s="833"/>
    </row>
    <row r="841" spans="1:19" ht="21" customHeight="1">
      <c r="A841" s="292"/>
      <c r="B841" s="292"/>
      <c r="C841" s="297">
        <v>25000000</v>
      </c>
      <c r="D841" s="292">
        <v>16</v>
      </c>
      <c r="E841" s="298" t="s">
        <v>681</v>
      </c>
      <c r="F841" s="292" t="s">
        <v>789</v>
      </c>
      <c r="G841" s="299">
        <f>Q654</f>
        <v>0.0107</v>
      </c>
      <c r="H841" s="295"/>
      <c r="I841" s="295" t="s">
        <v>233</v>
      </c>
      <c r="J841" s="300">
        <f>Q747</f>
        <v>0.5298</v>
      </c>
      <c r="K841" s="292"/>
      <c r="L841" s="295"/>
      <c r="M841" s="295"/>
      <c r="N841" s="292"/>
      <c r="O841" s="292" t="s">
        <v>784</v>
      </c>
      <c r="P841" s="292"/>
      <c r="Q841" s="301">
        <f t="shared" si="27"/>
        <v>0.5405000000000001</v>
      </c>
      <c r="R841" s="292"/>
      <c r="S841" s="833"/>
    </row>
    <row r="842" spans="1:19" ht="21" customHeight="1">
      <c r="A842" s="292"/>
      <c r="B842" s="292"/>
      <c r="C842" s="297">
        <v>30000000</v>
      </c>
      <c r="D842" s="292">
        <v>17</v>
      </c>
      <c r="E842" s="298" t="s">
        <v>681</v>
      </c>
      <c r="F842" s="292" t="s">
        <v>789</v>
      </c>
      <c r="G842" s="299">
        <f>Q667</f>
        <v>0.0072</v>
      </c>
      <c r="H842" s="295"/>
      <c r="I842" s="295" t="s">
        <v>233</v>
      </c>
      <c r="J842" s="300">
        <f>Q763</f>
        <v>0.0976</v>
      </c>
      <c r="K842" s="292"/>
      <c r="L842" s="295"/>
      <c r="M842" s="295"/>
      <c r="N842" s="292"/>
      <c r="O842" s="292" t="s">
        <v>784</v>
      </c>
      <c r="P842" s="292"/>
      <c r="Q842" s="301">
        <f t="shared" si="27"/>
        <v>0.1048</v>
      </c>
      <c r="R842" s="292"/>
      <c r="S842" s="833"/>
    </row>
    <row r="843" spans="1:19" ht="21" customHeight="1">
      <c r="A843" s="292"/>
      <c r="B843" s="292"/>
      <c r="C843" s="297">
        <v>40000000</v>
      </c>
      <c r="D843" s="292">
        <v>17</v>
      </c>
      <c r="E843" s="298" t="s">
        <v>681</v>
      </c>
      <c r="F843" s="292" t="s">
        <v>789</v>
      </c>
      <c r="G843" s="299">
        <f>Q667</f>
        <v>0.0072</v>
      </c>
      <c r="H843" s="295"/>
      <c r="I843" s="295" t="s">
        <v>233</v>
      </c>
      <c r="J843" s="300">
        <f>Q763</f>
        <v>0.0976</v>
      </c>
      <c r="K843" s="292"/>
      <c r="L843" s="295"/>
      <c r="M843" s="295"/>
      <c r="N843" s="292"/>
      <c r="O843" s="292" t="s">
        <v>784</v>
      </c>
      <c r="P843" s="292"/>
      <c r="Q843" s="301">
        <f t="shared" si="27"/>
        <v>0.1048</v>
      </c>
      <c r="R843" s="292"/>
      <c r="S843" s="833"/>
    </row>
    <row r="844" spans="1:19" ht="21" customHeight="1">
      <c r="A844" s="292"/>
      <c r="B844" s="292"/>
      <c r="C844" s="297">
        <v>50000000</v>
      </c>
      <c r="D844" s="292">
        <v>18</v>
      </c>
      <c r="E844" s="298" t="s">
        <v>681</v>
      </c>
      <c r="F844" s="292" t="s">
        <v>789</v>
      </c>
      <c r="G844" s="299">
        <f>Q667</f>
        <v>0.0072</v>
      </c>
      <c r="H844" s="295"/>
      <c r="I844" s="295" t="s">
        <v>233</v>
      </c>
      <c r="J844" s="300">
        <f>Q763</f>
        <v>0.0976</v>
      </c>
      <c r="K844" s="292"/>
      <c r="L844" s="295"/>
      <c r="M844" s="295"/>
      <c r="N844" s="292"/>
      <c r="O844" s="292" t="s">
        <v>784</v>
      </c>
      <c r="P844" s="292"/>
      <c r="Q844" s="301">
        <f t="shared" si="27"/>
        <v>0.1048</v>
      </c>
      <c r="R844" s="292"/>
      <c r="S844" s="833"/>
    </row>
    <row r="845" spans="1:19" ht="21" customHeight="1">
      <c r="A845" s="292"/>
      <c r="B845" s="292"/>
      <c r="C845" s="297">
        <v>60000000</v>
      </c>
      <c r="D845" s="292">
        <v>18</v>
      </c>
      <c r="E845" s="298" t="s">
        <v>681</v>
      </c>
      <c r="F845" s="292" t="s">
        <v>789</v>
      </c>
      <c r="G845" s="299">
        <f>Q684</f>
        <v>0.0039</v>
      </c>
      <c r="H845" s="295"/>
      <c r="I845" s="295" t="s">
        <v>233</v>
      </c>
      <c r="J845" s="300">
        <f>Q779</f>
        <v>0.0528</v>
      </c>
      <c r="K845" s="292"/>
      <c r="L845" s="295"/>
      <c r="M845" s="295"/>
      <c r="N845" s="292"/>
      <c r="O845" s="292" t="s">
        <v>784</v>
      </c>
      <c r="P845" s="292"/>
      <c r="Q845" s="301">
        <f t="shared" si="27"/>
        <v>0.0567</v>
      </c>
      <c r="R845" s="292"/>
      <c r="S845" s="833"/>
    </row>
    <row r="846" spans="1:19" ht="21" customHeight="1">
      <c r="A846" s="292"/>
      <c r="B846" s="292"/>
      <c r="C846" s="297">
        <v>70000000</v>
      </c>
      <c r="D846" s="292">
        <v>20</v>
      </c>
      <c r="E846" s="298" t="s">
        <v>681</v>
      </c>
      <c r="F846" s="292" t="s">
        <v>789</v>
      </c>
      <c r="G846" s="299">
        <f>Q684</f>
        <v>0.0039</v>
      </c>
      <c r="H846" s="295"/>
      <c r="I846" s="295" t="s">
        <v>233</v>
      </c>
      <c r="J846" s="300">
        <f>Q779</f>
        <v>0.0528</v>
      </c>
      <c r="K846" s="292"/>
      <c r="L846" s="295"/>
      <c r="M846" s="295"/>
      <c r="N846" s="292"/>
      <c r="O846" s="292" t="s">
        <v>784</v>
      </c>
      <c r="P846" s="292"/>
      <c r="Q846" s="301">
        <f t="shared" si="27"/>
        <v>0.0567</v>
      </c>
      <c r="R846" s="292"/>
      <c r="S846" s="833"/>
    </row>
    <row r="847" spans="1:19" ht="21" customHeight="1">
      <c r="A847" s="292"/>
      <c r="B847" s="292"/>
      <c r="C847" s="297">
        <v>80000000</v>
      </c>
      <c r="D847" s="292">
        <v>20</v>
      </c>
      <c r="E847" s="298" t="s">
        <v>681</v>
      </c>
      <c r="F847" s="292" t="s">
        <v>789</v>
      </c>
      <c r="G847" s="299">
        <f>Q684</f>
        <v>0.0039</v>
      </c>
      <c r="H847" s="295"/>
      <c r="I847" s="295" t="s">
        <v>233</v>
      </c>
      <c r="J847" s="300">
        <f>Q779</f>
        <v>0.0528</v>
      </c>
      <c r="K847" s="292"/>
      <c r="L847" s="295"/>
      <c r="M847" s="295"/>
      <c r="N847" s="292"/>
      <c r="O847" s="292" t="s">
        <v>784</v>
      </c>
      <c r="P847" s="292"/>
      <c r="Q847" s="301">
        <f t="shared" si="27"/>
        <v>0.0567</v>
      </c>
      <c r="R847" s="292"/>
      <c r="S847" s="833"/>
    </row>
    <row r="848" spans="1:19" ht="21" customHeight="1">
      <c r="A848" s="292"/>
      <c r="B848" s="292"/>
      <c r="C848" s="297">
        <v>90000000</v>
      </c>
      <c r="D848" s="292">
        <v>20</v>
      </c>
      <c r="E848" s="298" t="s">
        <v>681</v>
      </c>
      <c r="F848" s="292" t="s">
        <v>789</v>
      </c>
      <c r="G848" s="299">
        <f>Q684</f>
        <v>0.0039</v>
      </c>
      <c r="H848" s="295"/>
      <c r="I848" s="295" t="s">
        <v>233</v>
      </c>
      <c r="J848" s="300">
        <f>Q779</f>
        <v>0.0528</v>
      </c>
      <c r="K848" s="292"/>
      <c r="L848" s="295"/>
      <c r="M848" s="295"/>
      <c r="N848" s="292"/>
      <c r="O848" s="292" t="s">
        <v>784</v>
      </c>
      <c r="P848" s="292"/>
      <c r="Q848" s="301">
        <f t="shared" si="27"/>
        <v>0.0567</v>
      </c>
      <c r="R848" s="292"/>
      <c r="S848" s="833"/>
    </row>
    <row r="849" spans="1:19" ht="21" customHeight="1">
      <c r="A849" s="292"/>
      <c r="B849" s="292"/>
      <c r="C849" s="297">
        <v>100000000</v>
      </c>
      <c r="D849" s="292">
        <v>20</v>
      </c>
      <c r="E849" s="298" t="s">
        <v>681</v>
      </c>
      <c r="F849" s="292" t="s">
        <v>789</v>
      </c>
      <c r="G849" s="299">
        <f>Q684</f>
        <v>0.0039</v>
      </c>
      <c r="H849" s="295"/>
      <c r="I849" s="295" t="s">
        <v>233</v>
      </c>
      <c r="J849" s="300">
        <f>Q779</f>
        <v>0.0528</v>
      </c>
      <c r="K849" s="292"/>
      <c r="L849" s="295"/>
      <c r="M849" s="295"/>
      <c r="N849" s="292"/>
      <c r="O849" s="292" t="s">
        <v>784</v>
      </c>
      <c r="P849" s="292"/>
      <c r="Q849" s="301">
        <f t="shared" si="27"/>
        <v>0.0567</v>
      </c>
      <c r="R849" s="292"/>
      <c r="S849" s="833"/>
    </row>
    <row r="850" spans="1:19" ht="21" customHeight="1">
      <c r="A850" s="292"/>
      <c r="B850" s="292"/>
      <c r="C850" s="297">
        <v>150000000</v>
      </c>
      <c r="D850" s="292">
        <v>22</v>
      </c>
      <c r="E850" s="298" t="s">
        <v>681</v>
      </c>
      <c r="F850" s="292" t="s">
        <v>789</v>
      </c>
      <c r="G850" s="299">
        <f>Q698</f>
        <v>0.003</v>
      </c>
      <c r="H850" s="295"/>
      <c r="I850" s="295" t="s">
        <v>233</v>
      </c>
      <c r="J850" s="300">
        <f>Q799</f>
        <v>0.0399</v>
      </c>
      <c r="K850" s="292"/>
      <c r="L850" s="295"/>
      <c r="M850" s="295"/>
      <c r="N850" s="292"/>
      <c r="O850" s="292" t="s">
        <v>784</v>
      </c>
      <c r="P850" s="292"/>
      <c r="Q850" s="301">
        <f t="shared" si="27"/>
        <v>0.0429</v>
      </c>
      <c r="R850" s="292"/>
      <c r="S850" s="833"/>
    </row>
    <row r="851" spans="1:19" ht="21" customHeight="1">
      <c r="A851" s="292"/>
      <c r="B851" s="292"/>
      <c r="C851" s="297">
        <v>200000000</v>
      </c>
      <c r="D851" s="292">
        <v>24</v>
      </c>
      <c r="E851" s="298" t="s">
        <v>681</v>
      </c>
      <c r="F851" s="292" t="s">
        <v>789</v>
      </c>
      <c r="G851" s="299">
        <f>Q698</f>
        <v>0.003</v>
      </c>
      <c r="H851" s="295"/>
      <c r="I851" s="295" t="s">
        <v>233</v>
      </c>
      <c r="J851" s="300">
        <f>Q799</f>
        <v>0.0399</v>
      </c>
      <c r="K851" s="292"/>
      <c r="L851" s="295"/>
      <c r="M851" s="295"/>
      <c r="N851" s="292"/>
      <c r="O851" s="292" t="s">
        <v>784</v>
      </c>
      <c r="P851" s="292"/>
      <c r="Q851" s="301">
        <f t="shared" si="27"/>
        <v>0.0429</v>
      </c>
      <c r="R851" s="292"/>
      <c r="S851" s="833"/>
    </row>
    <row r="852" spans="1:19" ht="21" customHeight="1">
      <c r="A852" s="292"/>
      <c r="B852" s="292"/>
      <c r="C852" s="297">
        <v>250000000</v>
      </c>
      <c r="D852" s="292">
        <v>28</v>
      </c>
      <c r="E852" s="298" t="s">
        <v>681</v>
      </c>
      <c r="F852" s="292" t="s">
        <v>789</v>
      </c>
      <c r="G852" s="299">
        <f>Q698</f>
        <v>0.003</v>
      </c>
      <c r="H852" s="295"/>
      <c r="I852" s="295" t="s">
        <v>233</v>
      </c>
      <c r="J852" s="300">
        <f>Q799</f>
        <v>0.0399</v>
      </c>
      <c r="K852" s="292"/>
      <c r="L852" s="295"/>
      <c r="M852" s="295"/>
      <c r="N852" s="292"/>
      <c r="O852" s="292" t="s">
        <v>784</v>
      </c>
      <c r="P852" s="292"/>
      <c r="Q852" s="301">
        <f t="shared" si="27"/>
        <v>0.0429</v>
      </c>
      <c r="R852" s="292"/>
      <c r="S852" s="833"/>
    </row>
    <row r="853" spans="1:19" ht="21" customHeight="1">
      <c r="A853" s="292"/>
      <c r="B853" s="292"/>
      <c r="C853" s="297">
        <v>300000000</v>
      </c>
      <c r="D853" s="292">
        <v>30</v>
      </c>
      <c r="E853" s="298" t="s">
        <v>681</v>
      </c>
      <c r="F853" s="292" t="s">
        <v>789</v>
      </c>
      <c r="G853" s="299">
        <f>Q698</f>
        <v>0.003</v>
      </c>
      <c r="H853" s="295"/>
      <c r="I853" s="295" t="s">
        <v>233</v>
      </c>
      <c r="J853" s="300">
        <f>Q799</f>
        <v>0.0399</v>
      </c>
      <c r="K853" s="292"/>
      <c r="L853" s="295"/>
      <c r="M853" s="295"/>
      <c r="N853" s="292"/>
      <c r="O853" s="292" t="s">
        <v>784</v>
      </c>
      <c r="P853" s="292"/>
      <c r="Q853" s="301">
        <f t="shared" si="27"/>
        <v>0.0429</v>
      </c>
      <c r="R853" s="292"/>
      <c r="S853" s="833"/>
    </row>
    <row r="854" spans="1:19" ht="21" customHeight="1">
      <c r="A854" s="292"/>
      <c r="B854" s="292"/>
      <c r="C854" s="297">
        <v>350000000</v>
      </c>
      <c r="D854" s="292">
        <v>32</v>
      </c>
      <c r="E854" s="298" t="s">
        <v>681</v>
      </c>
      <c r="F854" s="292" t="s">
        <v>789</v>
      </c>
      <c r="G854" s="299">
        <f>Q716</f>
        <v>0.0032</v>
      </c>
      <c r="H854" s="295"/>
      <c r="I854" s="295" t="s">
        <v>233</v>
      </c>
      <c r="J854" s="300">
        <f>Q816</f>
        <v>0.0433</v>
      </c>
      <c r="K854" s="292"/>
      <c r="L854" s="295"/>
      <c r="M854" s="295"/>
      <c r="N854" s="292"/>
      <c r="O854" s="292" t="s">
        <v>784</v>
      </c>
      <c r="P854" s="292"/>
      <c r="Q854" s="301">
        <f t="shared" si="27"/>
        <v>0.0465</v>
      </c>
      <c r="R854" s="292"/>
      <c r="S854" s="833"/>
    </row>
    <row r="855" spans="1:19" ht="21" customHeight="1">
      <c r="A855" s="292"/>
      <c r="B855" s="292"/>
      <c r="C855" s="297">
        <v>400000000</v>
      </c>
      <c r="D855" s="292">
        <v>36</v>
      </c>
      <c r="E855" s="298" t="s">
        <v>681</v>
      </c>
      <c r="F855" s="292" t="s">
        <v>789</v>
      </c>
      <c r="G855" s="299">
        <f>Q716</f>
        <v>0.0032</v>
      </c>
      <c r="H855" s="295"/>
      <c r="I855" s="295" t="s">
        <v>233</v>
      </c>
      <c r="J855" s="300">
        <f>Q816</f>
        <v>0.0433</v>
      </c>
      <c r="K855" s="292"/>
      <c r="L855" s="295"/>
      <c r="M855" s="295"/>
      <c r="N855" s="292"/>
      <c r="O855" s="292" t="s">
        <v>784</v>
      </c>
      <c r="P855" s="292"/>
      <c r="Q855" s="301">
        <f t="shared" si="27"/>
        <v>0.0465</v>
      </c>
      <c r="R855" s="292"/>
      <c r="S855" s="833"/>
    </row>
    <row r="856" spans="1:19" ht="21" customHeight="1">
      <c r="A856" s="292"/>
      <c r="B856" s="292"/>
      <c r="C856" s="297">
        <v>500000000</v>
      </c>
      <c r="D856" s="292">
        <v>36</v>
      </c>
      <c r="E856" s="298" t="s">
        <v>681</v>
      </c>
      <c r="F856" s="292" t="s">
        <v>789</v>
      </c>
      <c r="G856" s="299">
        <f>Q716</f>
        <v>0.0032</v>
      </c>
      <c r="H856" s="295"/>
      <c r="I856" s="295" t="s">
        <v>233</v>
      </c>
      <c r="J856" s="300">
        <f>Q816</f>
        <v>0.0433</v>
      </c>
      <c r="K856" s="292"/>
      <c r="L856" s="295"/>
      <c r="M856" s="295"/>
      <c r="N856" s="292"/>
      <c r="O856" s="292" t="s">
        <v>784</v>
      </c>
      <c r="P856" s="292"/>
      <c r="Q856" s="301">
        <f t="shared" si="27"/>
        <v>0.0465</v>
      </c>
      <c r="R856" s="292"/>
      <c r="S856" s="833"/>
    </row>
    <row r="857" spans="1:19" ht="21" customHeight="1">
      <c r="A857" s="292"/>
      <c r="B857" s="292"/>
      <c r="C857" s="297">
        <v>1000000000</v>
      </c>
      <c r="D857" s="292">
        <v>40</v>
      </c>
      <c r="E857" s="298" t="s">
        <v>681</v>
      </c>
      <c r="F857" s="292" t="s">
        <v>789</v>
      </c>
      <c r="G857" s="299">
        <f>Q727</f>
        <v>0.0031</v>
      </c>
      <c r="H857" s="295"/>
      <c r="I857" s="295" t="s">
        <v>233</v>
      </c>
      <c r="J857" s="300">
        <f>Q828</f>
        <v>0.0321</v>
      </c>
      <c r="K857" s="292"/>
      <c r="L857" s="295"/>
      <c r="M857" s="295"/>
      <c r="N857" s="292"/>
      <c r="O857" s="292" t="s">
        <v>784</v>
      </c>
      <c r="P857" s="292"/>
      <c r="Q857" s="301">
        <f t="shared" si="27"/>
        <v>0.035199999999999995</v>
      </c>
      <c r="R857" s="292"/>
      <c r="S857" s="833"/>
    </row>
    <row r="858" spans="1:19" ht="21" customHeight="1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3"/>
      <c r="O858" s="293"/>
      <c r="P858" s="293"/>
      <c r="Q858" s="293"/>
      <c r="R858" s="293"/>
      <c r="S858" s="833"/>
    </row>
    <row r="859" spans="1:19" ht="21" customHeight="1">
      <c r="A859" s="302"/>
      <c r="B859" s="302"/>
      <c r="C859" s="302"/>
      <c r="D859" s="302"/>
      <c r="E859" s="302"/>
      <c r="F859" s="302"/>
      <c r="G859" s="302"/>
      <c r="H859" s="302"/>
      <c r="I859" s="302"/>
      <c r="J859" s="302"/>
      <c r="K859" s="302"/>
      <c r="L859" s="302"/>
      <c r="M859" s="302"/>
      <c r="N859" s="303"/>
      <c r="O859" s="303"/>
      <c r="P859" s="303"/>
      <c r="Q859" s="303"/>
      <c r="R859" s="303"/>
      <c r="S859" s="833"/>
    </row>
    <row r="860" spans="1:19" ht="21" customHeight="1">
      <c r="A860" s="302"/>
      <c r="B860" s="302"/>
      <c r="C860" s="302"/>
      <c r="D860" s="302"/>
      <c r="E860" s="302"/>
      <c r="F860" s="302"/>
      <c r="G860" s="302"/>
      <c r="H860" s="302"/>
      <c r="I860" s="302"/>
      <c r="J860" s="302"/>
      <c r="K860" s="302"/>
      <c r="L860" s="302"/>
      <c r="M860" s="302"/>
      <c r="N860" s="303"/>
      <c r="O860" s="303"/>
      <c r="P860" s="303"/>
      <c r="Q860" s="303"/>
      <c r="R860" s="303"/>
      <c r="S860" s="833"/>
    </row>
    <row r="861" spans="1:19" ht="21" customHeight="1">
      <c r="A861" s="302"/>
      <c r="B861" s="302"/>
      <c r="C861" s="302"/>
      <c r="D861" s="302"/>
      <c r="E861" s="302"/>
      <c r="F861" s="302"/>
      <c r="G861" s="302"/>
      <c r="H861" s="302"/>
      <c r="I861" s="302"/>
      <c r="J861" s="302"/>
      <c r="K861" s="302"/>
      <c r="L861" s="302"/>
      <c r="M861" s="302"/>
      <c r="N861" s="303"/>
      <c r="O861" s="303"/>
      <c r="P861" s="303"/>
      <c r="Q861" s="303"/>
      <c r="R861" s="303"/>
      <c r="S861" s="833"/>
    </row>
    <row r="862" spans="1:19" ht="21" customHeight="1">
      <c r="A862" s="302"/>
      <c r="B862" s="302"/>
      <c r="C862" s="302"/>
      <c r="D862" s="302"/>
      <c r="E862" s="302"/>
      <c r="F862" s="302"/>
      <c r="G862" s="302"/>
      <c r="H862" s="302"/>
      <c r="I862" s="302"/>
      <c r="J862" s="302"/>
      <c r="K862" s="302"/>
      <c r="L862" s="302"/>
      <c r="M862" s="302"/>
      <c r="N862" s="303"/>
      <c r="O862" s="303"/>
      <c r="P862" s="303"/>
      <c r="Q862" s="303"/>
      <c r="R862" s="303"/>
      <c r="S862" s="833"/>
    </row>
    <row r="863" spans="1:19" ht="21" customHeight="1">
      <c r="A863" s="302"/>
      <c r="B863" s="302"/>
      <c r="C863" s="302"/>
      <c r="D863" s="302"/>
      <c r="E863" s="302"/>
      <c r="F863" s="302"/>
      <c r="G863" s="302"/>
      <c r="H863" s="302"/>
      <c r="I863" s="302"/>
      <c r="J863" s="302"/>
      <c r="K863" s="302"/>
      <c r="L863" s="302"/>
      <c r="M863" s="302"/>
      <c r="N863" s="303"/>
      <c r="O863" s="303"/>
      <c r="P863" s="303"/>
      <c r="Q863" s="303"/>
      <c r="R863" s="303"/>
      <c r="S863" s="833"/>
    </row>
    <row r="864" spans="1:19" ht="21" customHeight="1">
      <c r="A864" s="835" t="s">
        <v>304</v>
      </c>
      <c r="B864" s="835"/>
      <c r="C864" s="835"/>
      <c r="D864" s="835"/>
      <c r="E864" s="835"/>
      <c r="F864" s="835"/>
      <c r="G864" s="835"/>
      <c r="H864" s="835"/>
      <c r="I864" s="835"/>
      <c r="J864" s="835"/>
      <c r="K864" s="835"/>
      <c r="L864" s="835"/>
      <c r="M864" s="835"/>
      <c r="N864" s="835"/>
      <c r="O864" s="835"/>
      <c r="P864" s="835"/>
      <c r="Q864" s="835"/>
      <c r="R864" s="835"/>
      <c r="S864" s="833"/>
    </row>
    <row r="865" spans="1:19" ht="21" customHeight="1">
      <c r="A865" s="157"/>
      <c r="B865" s="164" t="s">
        <v>305</v>
      </c>
      <c r="C865" s="210" t="s">
        <v>310</v>
      </c>
      <c r="D865" s="212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832" t="s">
        <v>311</v>
      </c>
    </row>
    <row r="866" spans="1:19" ht="21" customHeight="1">
      <c r="A866" s="157"/>
      <c r="B866" s="165" t="s">
        <v>312</v>
      </c>
      <c r="C866" s="210" t="s">
        <v>313</v>
      </c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833"/>
    </row>
    <row r="867" spans="1:19" ht="21" customHeight="1">
      <c r="A867" s="157"/>
      <c r="B867" s="157"/>
      <c r="C867" s="157" t="s">
        <v>314</v>
      </c>
      <c r="D867" s="195">
        <v>2500</v>
      </c>
      <c r="E867" s="157" t="s">
        <v>315</v>
      </c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833"/>
    </row>
    <row r="868" spans="1:19" ht="21" customHeight="1">
      <c r="A868" s="157"/>
      <c r="B868" s="157" t="s">
        <v>562</v>
      </c>
      <c r="C868" s="165" t="s">
        <v>463</v>
      </c>
      <c r="D868" s="165" t="s">
        <v>478</v>
      </c>
      <c r="E868" s="165"/>
      <c r="F868" s="157"/>
      <c r="G868" s="836" t="s">
        <v>778</v>
      </c>
      <c r="H868" s="836"/>
      <c r="I868" s="836"/>
      <c r="J868" s="836"/>
      <c r="K868" s="836"/>
      <c r="L868" s="836"/>
      <c r="M868" s="836"/>
      <c r="N868" s="836"/>
      <c r="O868" s="836"/>
      <c r="P868" s="836"/>
      <c r="Q868" s="836"/>
      <c r="R868" s="836"/>
      <c r="S868" s="833"/>
    </row>
    <row r="869" spans="1:19" ht="21" customHeight="1">
      <c r="A869" s="157"/>
      <c r="B869" s="175" t="s">
        <v>788</v>
      </c>
      <c r="C869" s="176">
        <v>500000</v>
      </c>
      <c r="D869" s="195">
        <v>6</v>
      </c>
      <c r="E869" s="198" t="s">
        <v>821</v>
      </c>
      <c r="F869" s="157" t="s">
        <v>789</v>
      </c>
      <c r="G869" s="172">
        <f>D867</f>
        <v>2500</v>
      </c>
      <c r="H869" s="165" t="s">
        <v>787</v>
      </c>
      <c r="I869" s="165">
        <f>D869</f>
        <v>6</v>
      </c>
      <c r="J869" s="157" t="s">
        <v>248</v>
      </c>
      <c r="K869" s="157"/>
      <c r="L869" s="157" t="s">
        <v>783</v>
      </c>
      <c r="M869" s="172">
        <f>C869</f>
        <v>500000</v>
      </c>
      <c r="N869" s="157"/>
      <c r="O869" s="157" t="s">
        <v>784</v>
      </c>
      <c r="P869" s="157"/>
      <c r="Q869" s="199">
        <f>ROUND(G869*D869*100/M869,4)</f>
        <v>3</v>
      </c>
      <c r="R869" s="165" t="s">
        <v>562</v>
      </c>
      <c r="S869" s="833"/>
    </row>
    <row r="870" spans="1:19" ht="21" customHeight="1">
      <c r="A870" s="157"/>
      <c r="B870" s="157"/>
      <c r="C870" s="176">
        <v>1000000</v>
      </c>
      <c r="D870" s="195">
        <v>6</v>
      </c>
      <c r="E870" s="198" t="s">
        <v>821</v>
      </c>
      <c r="F870" s="157" t="s">
        <v>789</v>
      </c>
      <c r="G870" s="172">
        <f>D867</f>
        <v>2500</v>
      </c>
      <c r="H870" s="165" t="s">
        <v>787</v>
      </c>
      <c r="I870" s="165">
        <f>D870</f>
        <v>6</v>
      </c>
      <c r="J870" s="157" t="s">
        <v>248</v>
      </c>
      <c r="K870" s="157"/>
      <c r="L870" s="157" t="s">
        <v>783</v>
      </c>
      <c r="M870" s="172">
        <f>C870</f>
        <v>1000000</v>
      </c>
      <c r="N870" s="157"/>
      <c r="O870" s="157" t="s">
        <v>784</v>
      </c>
      <c r="P870" s="157"/>
      <c r="Q870" s="199">
        <f>ROUND(G870*D870*100/M870,4)</f>
        <v>1.5</v>
      </c>
      <c r="R870" s="165" t="s">
        <v>562</v>
      </c>
      <c r="S870" s="833"/>
    </row>
    <row r="871" spans="1:19" ht="21" customHeight="1">
      <c r="A871" s="157"/>
      <c r="B871" s="157"/>
      <c r="C871" s="176">
        <v>2000000</v>
      </c>
      <c r="D871" s="195">
        <v>9</v>
      </c>
      <c r="E871" s="198" t="s">
        <v>821</v>
      </c>
      <c r="F871" s="157" t="s">
        <v>789</v>
      </c>
      <c r="G871" s="172">
        <f>D867</f>
        <v>2500</v>
      </c>
      <c r="H871" s="165" t="s">
        <v>787</v>
      </c>
      <c r="I871" s="165">
        <f>D871</f>
        <v>9</v>
      </c>
      <c r="J871" s="157" t="s">
        <v>248</v>
      </c>
      <c r="K871" s="157"/>
      <c r="L871" s="157" t="s">
        <v>783</v>
      </c>
      <c r="M871" s="172">
        <f>C871</f>
        <v>2000000</v>
      </c>
      <c r="N871" s="157"/>
      <c r="O871" s="157" t="s">
        <v>784</v>
      </c>
      <c r="P871" s="157"/>
      <c r="Q871" s="199">
        <f>ROUND(G871*D871*100/M871,4)</f>
        <v>1.125</v>
      </c>
      <c r="R871" s="165"/>
      <c r="S871" s="833"/>
    </row>
    <row r="872" spans="1:19" ht="21" customHeight="1">
      <c r="A872" s="157"/>
      <c r="B872" s="157"/>
      <c r="C872" s="176">
        <v>5000000</v>
      </c>
      <c r="D872" s="195">
        <v>12</v>
      </c>
      <c r="E872" s="198" t="s">
        <v>821</v>
      </c>
      <c r="F872" s="157" t="s">
        <v>789</v>
      </c>
      <c r="G872" s="172">
        <f>D867</f>
        <v>2500</v>
      </c>
      <c r="H872" s="165" t="s">
        <v>787</v>
      </c>
      <c r="I872" s="165">
        <f>D872</f>
        <v>12</v>
      </c>
      <c r="J872" s="157" t="s">
        <v>248</v>
      </c>
      <c r="K872" s="157"/>
      <c r="L872" s="157" t="s">
        <v>783</v>
      </c>
      <c r="M872" s="172">
        <f>C872</f>
        <v>5000000</v>
      </c>
      <c r="N872" s="157"/>
      <c r="O872" s="157" t="s">
        <v>784</v>
      </c>
      <c r="P872" s="157"/>
      <c r="Q872" s="199">
        <f>ROUND(G872*D872*100/M872,4)</f>
        <v>0.6</v>
      </c>
      <c r="R872" s="165" t="s">
        <v>562</v>
      </c>
      <c r="S872" s="833"/>
    </row>
    <row r="873" spans="1:19" ht="21" customHeight="1">
      <c r="A873" s="157"/>
      <c r="B873" s="157"/>
      <c r="C873" s="176">
        <v>10000000</v>
      </c>
      <c r="D873" s="195">
        <v>15</v>
      </c>
      <c r="E873" s="198" t="s">
        <v>821</v>
      </c>
      <c r="F873" s="157" t="s">
        <v>789</v>
      </c>
      <c r="G873" s="172">
        <f>D867</f>
        <v>2500</v>
      </c>
      <c r="H873" s="165" t="s">
        <v>787</v>
      </c>
      <c r="I873" s="165">
        <f>D873</f>
        <v>15</v>
      </c>
      <c r="J873" s="157" t="s">
        <v>248</v>
      </c>
      <c r="K873" s="157"/>
      <c r="L873" s="157" t="s">
        <v>783</v>
      </c>
      <c r="M873" s="172">
        <f>C873</f>
        <v>10000000</v>
      </c>
      <c r="N873" s="157"/>
      <c r="O873" s="157" t="s">
        <v>784</v>
      </c>
      <c r="P873" s="157"/>
      <c r="Q873" s="199">
        <f>ROUND(G873*D873*100/M873,4)</f>
        <v>0.375</v>
      </c>
      <c r="R873" s="165" t="s">
        <v>562</v>
      </c>
      <c r="S873" s="833"/>
    </row>
    <row r="874" spans="1:19" ht="21" customHeight="1">
      <c r="A874" s="157"/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  <c r="M874" s="200" t="s">
        <v>823</v>
      </c>
      <c r="N874" s="157"/>
      <c r="O874" s="157" t="s">
        <v>784</v>
      </c>
      <c r="P874" s="157"/>
      <c r="Q874" s="201">
        <f>ROUND((Q869+Q870+Q871+Q872+Q873)/5,4)</f>
        <v>1.32</v>
      </c>
      <c r="R874" s="157"/>
      <c r="S874" s="833"/>
    </row>
    <row r="875" spans="1:19" ht="21" customHeight="1">
      <c r="A875" s="157"/>
      <c r="B875" s="165" t="s">
        <v>316</v>
      </c>
      <c r="C875" s="210" t="s">
        <v>317</v>
      </c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833"/>
    </row>
    <row r="876" spans="1:19" ht="21" customHeight="1">
      <c r="A876" s="157"/>
      <c r="B876" s="157"/>
      <c r="C876" s="157" t="s">
        <v>318</v>
      </c>
      <c r="D876" s="195">
        <v>5000</v>
      </c>
      <c r="E876" s="157" t="s">
        <v>315</v>
      </c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833"/>
    </row>
    <row r="877" spans="1:19" ht="21" customHeight="1">
      <c r="A877" s="157"/>
      <c r="B877" s="157" t="s">
        <v>562</v>
      </c>
      <c r="C877" s="165" t="s">
        <v>463</v>
      </c>
      <c r="D877" s="165" t="s">
        <v>478</v>
      </c>
      <c r="E877" s="165"/>
      <c r="F877" s="157"/>
      <c r="G877" s="836" t="s">
        <v>778</v>
      </c>
      <c r="H877" s="836"/>
      <c r="I877" s="836"/>
      <c r="J877" s="836"/>
      <c r="K877" s="836"/>
      <c r="L877" s="836"/>
      <c r="M877" s="836"/>
      <c r="N877" s="836"/>
      <c r="O877" s="836"/>
      <c r="P877" s="836"/>
      <c r="Q877" s="836"/>
      <c r="R877" s="836"/>
      <c r="S877" s="833"/>
    </row>
    <row r="878" spans="1:19" ht="21" customHeight="1">
      <c r="A878" s="157"/>
      <c r="B878" s="175" t="s">
        <v>788</v>
      </c>
      <c r="C878" s="176">
        <v>10000001</v>
      </c>
      <c r="D878" s="304">
        <v>15</v>
      </c>
      <c r="E878" s="177" t="s">
        <v>681</v>
      </c>
      <c r="F878" s="157" t="s">
        <v>789</v>
      </c>
      <c r="G878" s="172">
        <f>D876</f>
        <v>5000</v>
      </c>
      <c r="H878" s="165" t="s">
        <v>787</v>
      </c>
      <c r="I878" s="165">
        <f>D878</f>
        <v>15</v>
      </c>
      <c r="J878" s="157" t="s">
        <v>248</v>
      </c>
      <c r="K878" s="157"/>
      <c r="L878" s="157" t="s">
        <v>783</v>
      </c>
      <c r="M878" s="172">
        <f>C878</f>
        <v>10000001</v>
      </c>
      <c r="N878" s="157"/>
      <c r="O878" s="157" t="s">
        <v>784</v>
      </c>
      <c r="P878" s="157"/>
      <c r="Q878" s="199">
        <f>ROUND(G878*D878*100/M878,4)</f>
        <v>0.75</v>
      </c>
      <c r="R878" s="165" t="s">
        <v>562</v>
      </c>
      <c r="S878" s="833"/>
    </row>
    <row r="879" spans="1:19" ht="21" customHeight="1">
      <c r="A879" s="157"/>
      <c r="B879" s="157"/>
      <c r="C879" s="176">
        <v>15000000</v>
      </c>
      <c r="D879" s="304">
        <v>15</v>
      </c>
      <c r="E879" s="177" t="s">
        <v>681</v>
      </c>
      <c r="F879" s="157" t="s">
        <v>789</v>
      </c>
      <c r="G879" s="172">
        <f>D876</f>
        <v>5000</v>
      </c>
      <c r="H879" s="165" t="s">
        <v>787</v>
      </c>
      <c r="I879" s="165">
        <f>D879</f>
        <v>15</v>
      </c>
      <c r="J879" s="157" t="s">
        <v>248</v>
      </c>
      <c r="K879" s="157"/>
      <c r="L879" s="157" t="s">
        <v>783</v>
      </c>
      <c r="M879" s="172">
        <f>C879</f>
        <v>15000000</v>
      </c>
      <c r="N879" s="157"/>
      <c r="O879" s="157" t="s">
        <v>784</v>
      </c>
      <c r="P879" s="157"/>
      <c r="Q879" s="199">
        <f>ROUND(G879*D879*100/M879,4)</f>
        <v>0.5</v>
      </c>
      <c r="R879" s="165" t="s">
        <v>562</v>
      </c>
      <c r="S879" s="833"/>
    </row>
    <row r="880" spans="1:19" ht="21" customHeight="1">
      <c r="A880" s="157"/>
      <c r="B880" s="157"/>
      <c r="C880" s="176">
        <v>20000000</v>
      </c>
      <c r="D880" s="304">
        <v>16</v>
      </c>
      <c r="E880" s="177" t="s">
        <v>681</v>
      </c>
      <c r="F880" s="157" t="s">
        <v>789</v>
      </c>
      <c r="G880" s="172">
        <f>D876</f>
        <v>5000</v>
      </c>
      <c r="H880" s="165" t="s">
        <v>787</v>
      </c>
      <c r="I880" s="165">
        <f>D880</f>
        <v>16</v>
      </c>
      <c r="J880" s="157" t="s">
        <v>248</v>
      </c>
      <c r="K880" s="157"/>
      <c r="L880" s="157" t="s">
        <v>783</v>
      </c>
      <c r="M880" s="172">
        <f>C880</f>
        <v>20000000</v>
      </c>
      <c r="N880" s="157"/>
      <c r="O880" s="157" t="s">
        <v>784</v>
      </c>
      <c r="P880" s="157"/>
      <c r="Q880" s="199">
        <f>ROUND(G880*D880*100/M880,4)</f>
        <v>0.4</v>
      </c>
      <c r="R880" s="165" t="s">
        <v>562</v>
      </c>
      <c r="S880" s="833"/>
    </row>
    <row r="881" spans="1:19" ht="21" customHeight="1">
      <c r="A881" s="157"/>
      <c r="B881" s="157"/>
      <c r="C881" s="176">
        <v>25000000</v>
      </c>
      <c r="D881" s="304">
        <v>16</v>
      </c>
      <c r="E881" s="177" t="s">
        <v>681</v>
      </c>
      <c r="F881" s="157" t="s">
        <v>789</v>
      </c>
      <c r="G881" s="172">
        <f>D876</f>
        <v>5000</v>
      </c>
      <c r="H881" s="165" t="s">
        <v>787</v>
      </c>
      <c r="I881" s="165">
        <f>D881</f>
        <v>16</v>
      </c>
      <c r="J881" s="157" t="s">
        <v>248</v>
      </c>
      <c r="K881" s="157"/>
      <c r="L881" s="157" t="s">
        <v>783</v>
      </c>
      <c r="M881" s="172">
        <f>C881</f>
        <v>25000000</v>
      </c>
      <c r="N881" s="157"/>
      <c r="O881" s="157" t="s">
        <v>784</v>
      </c>
      <c r="P881" s="157"/>
      <c r="Q881" s="199">
        <f>ROUND(G881*D881*100/M881,4)</f>
        <v>0.32</v>
      </c>
      <c r="R881" s="165" t="s">
        <v>562</v>
      </c>
      <c r="S881" s="833"/>
    </row>
    <row r="882" spans="1:19" ht="21" customHeight="1">
      <c r="A882" s="157"/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200" t="s">
        <v>823</v>
      </c>
      <c r="N882" s="157"/>
      <c r="O882" s="157" t="s">
        <v>784</v>
      </c>
      <c r="P882" s="157"/>
      <c r="Q882" s="201">
        <f>ROUND((Q878+Q879+Q880+Q881)/4,4)</f>
        <v>0.4925</v>
      </c>
      <c r="R882" s="157"/>
      <c r="S882" s="833"/>
    </row>
    <row r="883" spans="1:19" ht="21" customHeight="1">
      <c r="A883" s="157"/>
      <c r="B883" s="165" t="s">
        <v>319</v>
      </c>
      <c r="C883" s="210" t="s">
        <v>320</v>
      </c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833"/>
    </row>
    <row r="884" spans="1:19" ht="21" customHeight="1">
      <c r="A884" s="157"/>
      <c r="B884" s="157"/>
      <c r="C884" s="157" t="s">
        <v>321</v>
      </c>
      <c r="D884" s="195">
        <v>6000</v>
      </c>
      <c r="E884" s="157" t="s">
        <v>315</v>
      </c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833"/>
    </row>
    <row r="885" spans="1:19" ht="21" customHeight="1">
      <c r="A885" s="157"/>
      <c r="B885" s="157" t="s">
        <v>562</v>
      </c>
      <c r="C885" s="165" t="s">
        <v>463</v>
      </c>
      <c r="D885" s="165" t="s">
        <v>478</v>
      </c>
      <c r="E885" s="165"/>
      <c r="F885" s="157"/>
      <c r="G885" s="836" t="s">
        <v>778</v>
      </c>
      <c r="H885" s="836"/>
      <c r="I885" s="836"/>
      <c r="J885" s="836"/>
      <c r="K885" s="836"/>
      <c r="L885" s="836"/>
      <c r="M885" s="836"/>
      <c r="N885" s="836"/>
      <c r="O885" s="836"/>
      <c r="P885" s="836"/>
      <c r="Q885" s="836"/>
      <c r="R885" s="836"/>
      <c r="S885" s="833"/>
    </row>
    <row r="886" spans="1:19" ht="21" customHeight="1">
      <c r="A886" s="157"/>
      <c r="B886" s="175" t="s">
        <v>788</v>
      </c>
      <c r="C886" s="176">
        <v>25000001</v>
      </c>
      <c r="D886" s="195">
        <v>16</v>
      </c>
      <c r="E886" s="198" t="s">
        <v>821</v>
      </c>
      <c r="F886" s="157" t="s">
        <v>789</v>
      </c>
      <c r="G886" s="172">
        <f>D884</f>
        <v>6000</v>
      </c>
      <c r="H886" s="165" t="s">
        <v>787</v>
      </c>
      <c r="I886" s="165">
        <f>D886</f>
        <v>16</v>
      </c>
      <c r="J886" s="157" t="s">
        <v>248</v>
      </c>
      <c r="K886" s="157"/>
      <c r="L886" s="157" t="s">
        <v>783</v>
      </c>
      <c r="M886" s="172">
        <f>C886</f>
        <v>25000001</v>
      </c>
      <c r="N886" s="157"/>
      <c r="O886" s="157" t="s">
        <v>784</v>
      </c>
      <c r="P886" s="157"/>
      <c r="Q886" s="199">
        <f>ROUND(G886*D886*100/M886,4)</f>
        <v>0.384</v>
      </c>
      <c r="R886" s="165" t="s">
        <v>562</v>
      </c>
      <c r="S886" s="833"/>
    </row>
    <row r="887" spans="1:19" ht="21" customHeight="1">
      <c r="A887" s="157"/>
      <c r="B887" s="157"/>
      <c r="C887" s="176">
        <v>30000000</v>
      </c>
      <c r="D887" s="195">
        <v>17</v>
      </c>
      <c r="E887" s="198" t="s">
        <v>821</v>
      </c>
      <c r="F887" s="157" t="s">
        <v>789</v>
      </c>
      <c r="G887" s="172">
        <f>D884</f>
        <v>6000</v>
      </c>
      <c r="H887" s="165" t="s">
        <v>787</v>
      </c>
      <c r="I887" s="165">
        <f>D887</f>
        <v>17</v>
      </c>
      <c r="J887" s="157" t="s">
        <v>248</v>
      </c>
      <c r="K887" s="157"/>
      <c r="L887" s="157" t="s">
        <v>783</v>
      </c>
      <c r="M887" s="172">
        <f>C887</f>
        <v>30000000</v>
      </c>
      <c r="N887" s="157"/>
      <c r="O887" s="157" t="s">
        <v>784</v>
      </c>
      <c r="P887" s="157"/>
      <c r="Q887" s="199">
        <f>ROUND(G887*D887*100/M887,4)</f>
        <v>0.34</v>
      </c>
      <c r="R887" s="165" t="s">
        <v>562</v>
      </c>
      <c r="S887" s="833"/>
    </row>
    <row r="888" spans="1:19" ht="21" customHeight="1">
      <c r="A888" s="157"/>
      <c r="B888" s="157"/>
      <c r="C888" s="176">
        <v>40000000</v>
      </c>
      <c r="D888" s="195">
        <v>17</v>
      </c>
      <c r="E888" s="198" t="s">
        <v>821</v>
      </c>
      <c r="F888" s="157" t="s">
        <v>789</v>
      </c>
      <c r="G888" s="172">
        <f>D884</f>
        <v>6000</v>
      </c>
      <c r="H888" s="165" t="s">
        <v>787</v>
      </c>
      <c r="I888" s="165">
        <f>D888</f>
        <v>17</v>
      </c>
      <c r="J888" s="157" t="s">
        <v>248</v>
      </c>
      <c r="K888" s="157"/>
      <c r="L888" s="157" t="s">
        <v>783</v>
      </c>
      <c r="M888" s="172">
        <f>C888</f>
        <v>40000000</v>
      </c>
      <c r="N888" s="157"/>
      <c r="O888" s="157" t="s">
        <v>784</v>
      </c>
      <c r="P888" s="157"/>
      <c r="Q888" s="199">
        <f>ROUND(G888*D888*100/M888,4)</f>
        <v>0.255</v>
      </c>
      <c r="R888" s="165" t="s">
        <v>562</v>
      </c>
      <c r="S888" s="833"/>
    </row>
    <row r="889" spans="1:19" ht="21" customHeight="1">
      <c r="A889" s="157"/>
      <c r="B889" s="157"/>
      <c r="C889" s="176">
        <v>50000000</v>
      </c>
      <c r="D889" s="195">
        <v>18</v>
      </c>
      <c r="E889" s="198" t="s">
        <v>821</v>
      </c>
      <c r="F889" s="157" t="s">
        <v>789</v>
      </c>
      <c r="G889" s="172">
        <f>D884</f>
        <v>6000</v>
      </c>
      <c r="H889" s="165" t="s">
        <v>787</v>
      </c>
      <c r="I889" s="165">
        <f>D889</f>
        <v>18</v>
      </c>
      <c r="J889" s="157" t="s">
        <v>248</v>
      </c>
      <c r="K889" s="157"/>
      <c r="L889" s="157" t="s">
        <v>783</v>
      </c>
      <c r="M889" s="172">
        <f>C889</f>
        <v>50000000</v>
      </c>
      <c r="N889" s="157"/>
      <c r="O889" s="157" t="s">
        <v>784</v>
      </c>
      <c r="P889" s="157"/>
      <c r="Q889" s="199">
        <f>ROUND(G889*D889*100/M889,4)</f>
        <v>0.216</v>
      </c>
      <c r="R889" s="165" t="s">
        <v>562</v>
      </c>
      <c r="S889" s="833"/>
    </row>
    <row r="890" spans="1:19" ht="21" customHeight="1">
      <c r="A890" s="157"/>
      <c r="B890" s="157"/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  <c r="M890" s="200" t="s">
        <v>823</v>
      </c>
      <c r="N890" s="157"/>
      <c r="O890" s="157" t="s">
        <v>784</v>
      </c>
      <c r="P890" s="157"/>
      <c r="Q890" s="201">
        <f>ROUND((Q886+Q887+Q888+Q889)/4,4)</f>
        <v>0.2988</v>
      </c>
      <c r="R890" s="157"/>
      <c r="S890" s="833"/>
    </row>
    <row r="891" spans="1:19" ht="21" customHeight="1">
      <c r="A891" s="835" t="s">
        <v>322</v>
      </c>
      <c r="B891" s="835"/>
      <c r="C891" s="835"/>
      <c r="D891" s="835"/>
      <c r="E891" s="835"/>
      <c r="F891" s="835"/>
      <c r="G891" s="835"/>
      <c r="H891" s="835"/>
      <c r="I891" s="835"/>
      <c r="J891" s="835"/>
      <c r="K891" s="835"/>
      <c r="L891" s="835"/>
      <c r="M891" s="835"/>
      <c r="N891" s="835"/>
      <c r="O891" s="835"/>
      <c r="P891" s="835"/>
      <c r="Q891" s="835"/>
      <c r="R891" s="835"/>
      <c r="S891" s="833"/>
    </row>
    <row r="892" spans="1:19" ht="21" customHeight="1">
      <c r="A892" s="157"/>
      <c r="B892" s="157"/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74"/>
      <c r="O892" s="174"/>
      <c r="P892" s="174"/>
      <c r="Q892" s="174"/>
      <c r="R892" s="174"/>
      <c r="S892" s="832" t="s">
        <v>323</v>
      </c>
    </row>
    <row r="893" spans="1:19" ht="21" customHeight="1">
      <c r="A893" s="157"/>
      <c r="B893" s="165" t="s">
        <v>324</v>
      </c>
      <c r="C893" s="210" t="s">
        <v>325</v>
      </c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833"/>
    </row>
    <row r="894" spans="1:19" ht="21" customHeight="1">
      <c r="A894" s="157"/>
      <c r="B894" s="157"/>
      <c r="C894" s="157" t="s">
        <v>318</v>
      </c>
      <c r="D894" s="195">
        <v>10000</v>
      </c>
      <c r="E894" s="157" t="s">
        <v>315</v>
      </c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833"/>
    </row>
    <row r="895" spans="1:19" ht="21" customHeight="1">
      <c r="A895" s="157"/>
      <c r="B895" s="157" t="s">
        <v>562</v>
      </c>
      <c r="C895" s="165" t="s">
        <v>463</v>
      </c>
      <c r="D895" s="165" t="s">
        <v>478</v>
      </c>
      <c r="E895" s="165"/>
      <c r="F895" s="157"/>
      <c r="G895" s="836" t="s">
        <v>778</v>
      </c>
      <c r="H895" s="836"/>
      <c r="I895" s="836"/>
      <c r="J895" s="836"/>
      <c r="K895" s="836"/>
      <c r="L895" s="836"/>
      <c r="M895" s="836"/>
      <c r="N895" s="836"/>
      <c r="O895" s="836"/>
      <c r="P895" s="836"/>
      <c r="Q895" s="836"/>
      <c r="R895" s="836"/>
      <c r="S895" s="833"/>
    </row>
    <row r="896" spans="1:19" ht="21" customHeight="1">
      <c r="A896" s="157"/>
      <c r="B896" s="175" t="s">
        <v>788</v>
      </c>
      <c r="C896" s="176">
        <v>50000001</v>
      </c>
      <c r="D896" s="195">
        <v>18</v>
      </c>
      <c r="E896" s="198" t="s">
        <v>821</v>
      </c>
      <c r="F896" s="157" t="s">
        <v>789</v>
      </c>
      <c r="G896" s="172">
        <f>D894</f>
        <v>10000</v>
      </c>
      <c r="H896" s="165" t="s">
        <v>787</v>
      </c>
      <c r="I896" s="165">
        <f aca="true" t="shared" si="28" ref="I896:I901">D896</f>
        <v>18</v>
      </c>
      <c r="J896" s="157" t="s">
        <v>248</v>
      </c>
      <c r="K896" s="157"/>
      <c r="L896" s="157" t="s">
        <v>783</v>
      </c>
      <c r="M896" s="172">
        <f aca="true" t="shared" si="29" ref="M896:M901">C896</f>
        <v>50000001</v>
      </c>
      <c r="N896" s="157"/>
      <c r="O896" s="157" t="s">
        <v>784</v>
      </c>
      <c r="P896" s="157"/>
      <c r="Q896" s="199">
        <f aca="true" t="shared" si="30" ref="Q896:Q901">ROUND(G896*D896*100/M896,4)</f>
        <v>0.36</v>
      </c>
      <c r="R896" s="165" t="s">
        <v>562</v>
      </c>
      <c r="S896" s="833"/>
    </row>
    <row r="897" spans="1:19" ht="21" customHeight="1">
      <c r="A897" s="157"/>
      <c r="B897" s="157"/>
      <c r="C897" s="176">
        <v>60000000</v>
      </c>
      <c r="D897" s="195">
        <v>18</v>
      </c>
      <c r="E897" s="198" t="s">
        <v>821</v>
      </c>
      <c r="F897" s="157" t="s">
        <v>789</v>
      </c>
      <c r="G897" s="172">
        <f>D894</f>
        <v>10000</v>
      </c>
      <c r="H897" s="165" t="s">
        <v>787</v>
      </c>
      <c r="I897" s="165">
        <f t="shared" si="28"/>
        <v>18</v>
      </c>
      <c r="J897" s="157" t="s">
        <v>248</v>
      </c>
      <c r="K897" s="157"/>
      <c r="L897" s="157" t="s">
        <v>783</v>
      </c>
      <c r="M897" s="172">
        <f t="shared" si="29"/>
        <v>60000000</v>
      </c>
      <c r="N897" s="157"/>
      <c r="O897" s="157" t="s">
        <v>784</v>
      </c>
      <c r="P897" s="157"/>
      <c r="Q897" s="199">
        <f t="shared" si="30"/>
        <v>0.3</v>
      </c>
      <c r="R897" s="165" t="s">
        <v>562</v>
      </c>
      <c r="S897" s="833"/>
    </row>
    <row r="898" spans="1:19" ht="21" customHeight="1">
      <c r="A898" s="157"/>
      <c r="B898" s="157"/>
      <c r="C898" s="176">
        <v>70000000</v>
      </c>
      <c r="D898" s="195">
        <v>20</v>
      </c>
      <c r="E898" s="198" t="s">
        <v>821</v>
      </c>
      <c r="F898" s="157" t="s">
        <v>789</v>
      </c>
      <c r="G898" s="172">
        <f>D894</f>
        <v>10000</v>
      </c>
      <c r="H898" s="165" t="s">
        <v>787</v>
      </c>
      <c r="I898" s="165">
        <f t="shared" si="28"/>
        <v>20</v>
      </c>
      <c r="J898" s="157" t="s">
        <v>248</v>
      </c>
      <c r="K898" s="157"/>
      <c r="L898" s="157" t="s">
        <v>783</v>
      </c>
      <c r="M898" s="172">
        <f t="shared" si="29"/>
        <v>70000000</v>
      </c>
      <c r="N898" s="157"/>
      <c r="O898" s="157" t="s">
        <v>784</v>
      </c>
      <c r="P898" s="157"/>
      <c r="Q898" s="199">
        <f t="shared" si="30"/>
        <v>0.2857</v>
      </c>
      <c r="R898" s="165" t="s">
        <v>562</v>
      </c>
      <c r="S898" s="833"/>
    </row>
    <row r="899" spans="1:19" ht="21" customHeight="1">
      <c r="A899" s="157"/>
      <c r="B899" s="157"/>
      <c r="C899" s="176">
        <v>80000000</v>
      </c>
      <c r="D899" s="195">
        <v>20</v>
      </c>
      <c r="E899" s="198" t="s">
        <v>821</v>
      </c>
      <c r="F899" s="157" t="s">
        <v>789</v>
      </c>
      <c r="G899" s="172">
        <f>D894</f>
        <v>10000</v>
      </c>
      <c r="H899" s="165" t="s">
        <v>787</v>
      </c>
      <c r="I899" s="165">
        <f t="shared" si="28"/>
        <v>20</v>
      </c>
      <c r="J899" s="157" t="s">
        <v>248</v>
      </c>
      <c r="K899" s="157"/>
      <c r="L899" s="157" t="s">
        <v>783</v>
      </c>
      <c r="M899" s="172">
        <f t="shared" si="29"/>
        <v>80000000</v>
      </c>
      <c r="N899" s="157"/>
      <c r="O899" s="157" t="s">
        <v>784</v>
      </c>
      <c r="P899" s="157"/>
      <c r="Q899" s="199">
        <f t="shared" si="30"/>
        <v>0.25</v>
      </c>
      <c r="R899" s="165" t="s">
        <v>562</v>
      </c>
      <c r="S899" s="833"/>
    </row>
    <row r="900" spans="1:19" ht="21" customHeight="1">
      <c r="A900" s="157"/>
      <c r="B900" s="157"/>
      <c r="C900" s="176">
        <v>90000000</v>
      </c>
      <c r="D900" s="195">
        <v>20</v>
      </c>
      <c r="E900" s="198" t="s">
        <v>821</v>
      </c>
      <c r="F900" s="157" t="s">
        <v>789</v>
      </c>
      <c r="G900" s="172">
        <f>D894</f>
        <v>10000</v>
      </c>
      <c r="H900" s="165" t="s">
        <v>787</v>
      </c>
      <c r="I900" s="165">
        <f t="shared" si="28"/>
        <v>20</v>
      </c>
      <c r="J900" s="157" t="s">
        <v>248</v>
      </c>
      <c r="K900" s="157"/>
      <c r="L900" s="157" t="s">
        <v>783</v>
      </c>
      <c r="M900" s="172">
        <f t="shared" si="29"/>
        <v>90000000</v>
      </c>
      <c r="N900" s="157"/>
      <c r="O900" s="157" t="s">
        <v>784</v>
      </c>
      <c r="P900" s="157"/>
      <c r="Q900" s="199">
        <f t="shared" si="30"/>
        <v>0.2222</v>
      </c>
      <c r="R900" s="165" t="s">
        <v>562</v>
      </c>
      <c r="S900" s="833"/>
    </row>
    <row r="901" spans="1:19" ht="21" customHeight="1">
      <c r="A901" s="157"/>
      <c r="B901" s="157"/>
      <c r="C901" s="176">
        <v>100000000</v>
      </c>
      <c r="D901" s="195">
        <v>20</v>
      </c>
      <c r="E901" s="198" t="s">
        <v>821</v>
      </c>
      <c r="F901" s="157" t="s">
        <v>789</v>
      </c>
      <c r="G901" s="172">
        <f>D894</f>
        <v>10000</v>
      </c>
      <c r="H901" s="165" t="s">
        <v>787</v>
      </c>
      <c r="I901" s="165">
        <f t="shared" si="28"/>
        <v>20</v>
      </c>
      <c r="J901" s="157" t="s">
        <v>248</v>
      </c>
      <c r="K901" s="157"/>
      <c r="L901" s="157" t="s">
        <v>783</v>
      </c>
      <c r="M901" s="172">
        <f t="shared" si="29"/>
        <v>100000000</v>
      </c>
      <c r="N901" s="157"/>
      <c r="O901" s="157" t="s">
        <v>784</v>
      </c>
      <c r="P901" s="157"/>
      <c r="Q901" s="199">
        <f t="shared" si="30"/>
        <v>0.2</v>
      </c>
      <c r="R901" s="165" t="s">
        <v>562</v>
      </c>
      <c r="S901" s="833"/>
    </row>
    <row r="902" spans="1:19" ht="21" customHeight="1">
      <c r="A902" s="157"/>
      <c r="B902" s="165" t="s">
        <v>326</v>
      </c>
      <c r="C902" s="210" t="s">
        <v>327</v>
      </c>
      <c r="D902" s="157"/>
      <c r="E902" s="157"/>
      <c r="F902" s="157"/>
      <c r="G902" s="157"/>
      <c r="H902" s="157"/>
      <c r="I902" s="157"/>
      <c r="J902" s="157"/>
      <c r="K902" s="157"/>
      <c r="L902" s="157"/>
      <c r="M902" s="200" t="s">
        <v>823</v>
      </c>
      <c r="N902" s="157"/>
      <c r="O902" s="157" t="s">
        <v>784</v>
      </c>
      <c r="P902" s="157"/>
      <c r="Q902" s="201">
        <f>ROUND((Q896+Q897+Q898+Q899+Q900+Q901)/6,4)</f>
        <v>0.2697</v>
      </c>
      <c r="R902" s="157"/>
      <c r="S902" s="833"/>
    </row>
    <row r="903" spans="1:19" ht="21" customHeight="1">
      <c r="A903" s="157"/>
      <c r="B903" s="157"/>
      <c r="C903" s="157" t="s">
        <v>318</v>
      </c>
      <c r="D903" s="195">
        <v>20000</v>
      </c>
      <c r="E903" s="157" t="s">
        <v>315</v>
      </c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833"/>
    </row>
    <row r="904" spans="1:19" ht="21" customHeight="1">
      <c r="A904" s="157"/>
      <c r="B904" s="157" t="s">
        <v>562</v>
      </c>
      <c r="C904" s="165" t="s">
        <v>463</v>
      </c>
      <c r="D904" s="165" t="s">
        <v>478</v>
      </c>
      <c r="E904" s="165"/>
      <c r="F904" s="157"/>
      <c r="G904" s="836" t="s">
        <v>778</v>
      </c>
      <c r="H904" s="836"/>
      <c r="I904" s="836"/>
      <c r="J904" s="836"/>
      <c r="K904" s="836"/>
      <c r="L904" s="836"/>
      <c r="M904" s="836"/>
      <c r="N904" s="836"/>
      <c r="O904" s="836"/>
      <c r="P904" s="836"/>
      <c r="Q904" s="836"/>
      <c r="R904" s="836"/>
      <c r="S904" s="833"/>
    </row>
    <row r="905" spans="1:19" ht="21" customHeight="1">
      <c r="A905" s="157"/>
      <c r="B905" s="175" t="s">
        <v>788</v>
      </c>
      <c r="C905" s="176">
        <v>100000001</v>
      </c>
      <c r="D905" s="304">
        <v>20</v>
      </c>
      <c r="E905" s="198" t="s">
        <v>821</v>
      </c>
      <c r="F905" s="157" t="s">
        <v>789</v>
      </c>
      <c r="G905" s="172">
        <f>D903</f>
        <v>20000</v>
      </c>
      <c r="H905" s="165" t="s">
        <v>787</v>
      </c>
      <c r="I905" s="165">
        <f>D905</f>
        <v>20</v>
      </c>
      <c r="J905" s="157" t="s">
        <v>248</v>
      </c>
      <c r="K905" s="157"/>
      <c r="L905" s="157" t="s">
        <v>783</v>
      </c>
      <c r="M905" s="172">
        <f>C905</f>
        <v>100000001</v>
      </c>
      <c r="N905" s="157"/>
      <c r="O905" s="157" t="s">
        <v>784</v>
      </c>
      <c r="P905" s="157"/>
      <c r="Q905" s="199">
        <f>ROUND(G905*D905*100/M905,4)</f>
        <v>0.4</v>
      </c>
      <c r="R905" s="165" t="s">
        <v>562</v>
      </c>
      <c r="S905" s="833"/>
    </row>
    <row r="906" spans="1:19" ht="21" customHeight="1">
      <c r="A906" s="157"/>
      <c r="B906" s="157"/>
      <c r="C906" s="176">
        <v>150000000</v>
      </c>
      <c r="D906" s="304">
        <v>22</v>
      </c>
      <c r="E906" s="198" t="s">
        <v>821</v>
      </c>
      <c r="F906" s="157" t="s">
        <v>789</v>
      </c>
      <c r="G906" s="172">
        <f>D903</f>
        <v>20000</v>
      </c>
      <c r="H906" s="165" t="s">
        <v>787</v>
      </c>
      <c r="I906" s="165">
        <f>D906</f>
        <v>22</v>
      </c>
      <c r="J906" s="157" t="s">
        <v>248</v>
      </c>
      <c r="K906" s="157"/>
      <c r="L906" s="157" t="s">
        <v>783</v>
      </c>
      <c r="M906" s="172">
        <f>C906</f>
        <v>150000000</v>
      </c>
      <c r="N906" s="157"/>
      <c r="O906" s="157" t="s">
        <v>784</v>
      </c>
      <c r="P906" s="157"/>
      <c r="Q906" s="199">
        <f>ROUND(G906*D906*100/M906,4)</f>
        <v>0.2933</v>
      </c>
      <c r="R906" s="165" t="s">
        <v>562</v>
      </c>
      <c r="S906" s="833"/>
    </row>
    <row r="907" spans="1:19" ht="21" customHeight="1">
      <c r="A907" s="157"/>
      <c r="B907" s="157"/>
      <c r="C907" s="176">
        <v>200000000</v>
      </c>
      <c r="D907" s="304">
        <v>24</v>
      </c>
      <c r="E907" s="198" t="s">
        <v>821</v>
      </c>
      <c r="F907" s="157" t="s">
        <v>789</v>
      </c>
      <c r="G907" s="172">
        <f>D903</f>
        <v>20000</v>
      </c>
      <c r="H907" s="165" t="s">
        <v>787</v>
      </c>
      <c r="I907" s="165">
        <f>D907</f>
        <v>24</v>
      </c>
      <c r="J907" s="157" t="s">
        <v>248</v>
      </c>
      <c r="K907" s="157"/>
      <c r="L907" s="157" t="s">
        <v>783</v>
      </c>
      <c r="M907" s="172">
        <f>C907</f>
        <v>200000000</v>
      </c>
      <c r="N907" s="157"/>
      <c r="O907" s="157" t="s">
        <v>784</v>
      </c>
      <c r="P907" s="157"/>
      <c r="Q907" s="199">
        <f>ROUND(G907*D907*100/M907,4)</f>
        <v>0.24</v>
      </c>
      <c r="R907" s="165" t="s">
        <v>562</v>
      </c>
      <c r="S907" s="833"/>
    </row>
    <row r="908" spans="1:19" ht="21" customHeight="1">
      <c r="A908" s="157"/>
      <c r="B908" s="157"/>
      <c r="C908" s="176">
        <v>250000000</v>
      </c>
      <c r="D908" s="304">
        <v>28</v>
      </c>
      <c r="E908" s="198" t="s">
        <v>821</v>
      </c>
      <c r="F908" s="157" t="s">
        <v>789</v>
      </c>
      <c r="G908" s="172">
        <f>D903</f>
        <v>20000</v>
      </c>
      <c r="H908" s="165" t="s">
        <v>787</v>
      </c>
      <c r="I908" s="165">
        <f>D908</f>
        <v>28</v>
      </c>
      <c r="J908" s="157" t="s">
        <v>248</v>
      </c>
      <c r="K908" s="157"/>
      <c r="L908" s="157" t="s">
        <v>783</v>
      </c>
      <c r="M908" s="172">
        <f>C908</f>
        <v>250000000</v>
      </c>
      <c r="N908" s="157"/>
      <c r="O908" s="157" t="s">
        <v>784</v>
      </c>
      <c r="P908" s="157"/>
      <c r="Q908" s="199">
        <f>ROUND(G908*D908*100/M908,4)</f>
        <v>0.224</v>
      </c>
      <c r="R908" s="165" t="s">
        <v>562</v>
      </c>
      <c r="S908" s="833"/>
    </row>
    <row r="909" spans="1:19" ht="21" customHeight="1">
      <c r="A909" s="157"/>
      <c r="B909" s="175" t="s">
        <v>562</v>
      </c>
      <c r="C909" s="176">
        <v>300000000</v>
      </c>
      <c r="D909" s="304">
        <v>30</v>
      </c>
      <c r="E909" s="198" t="s">
        <v>821</v>
      </c>
      <c r="F909" s="157" t="s">
        <v>789</v>
      </c>
      <c r="G909" s="172">
        <f>D903</f>
        <v>20000</v>
      </c>
      <c r="H909" s="165" t="s">
        <v>787</v>
      </c>
      <c r="I909" s="165">
        <f>D909</f>
        <v>30</v>
      </c>
      <c r="J909" s="157" t="s">
        <v>248</v>
      </c>
      <c r="K909" s="157"/>
      <c r="L909" s="157" t="s">
        <v>783</v>
      </c>
      <c r="M909" s="172">
        <f>C909</f>
        <v>300000000</v>
      </c>
      <c r="N909" s="157"/>
      <c r="O909" s="157" t="s">
        <v>784</v>
      </c>
      <c r="P909" s="157"/>
      <c r="Q909" s="199">
        <f>ROUND(G909*D909*100/M909,4)</f>
        <v>0.2</v>
      </c>
      <c r="R909" s="165" t="s">
        <v>562</v>
      </c>
      <c r="S909" s="833"/>
    </row>
    <row r="910" spans="1:19" ht="21" customHeight="1">
      <c r="A910" s="157"/>
      <c r="B910" s="165" t="s">
        <v>328</v>
      </c>
      <c r="C910" s="210" t="s">
        <v>329</v>
      </c>
      <c r="D910" s="157"/>
      <c r="E910" s="157"/>
      <c r="F910" s="157"/>
      <c r="G910" s="157"/>
      <c r="H910" s="157"/>
      <c r="I910" s="157"/>
      <c r="J910" s="157"/>
      <c r="K910" s="157"/>
      <c r="L910" s="157"/>
      <c r="M910" s="200" t="s">
        <v>823</v>
      </c>
      <c r="N910" s="157"/>
      <c r="O910" s="157" t="s">
        <v>784</v>
      </c>
      <c r="P910" s="157"/>
      <c r="Q910" s="201">
        <f>ROUND((Q905+Q906+Q907+Q908+Q909)/5,4)</f>
        <v>0.2715</v>
      </c>
      <c r="R910" s="157"/>
      <c r="S910" s="833"/>
    </row>
    <row r="911" spans="1:19" ht="21" customHeight="1">
      <c r="A911" s="157"/>
      <c r="B911" s="157"/>
      <c r="C911" s="157" t="s">
        <v>318</v>
      </c>
      <c r="D911" s="195">
        <v>25000</v>
      </c>
      <c r="E911" s="157" t="s">
        <v>315</v>
      </c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833"/>
    </row>
    <row r="912" spans="1:19" ht="21" customHeight="1">
      <c r="A912" s="157"/>
      <c r="B912" s="157" t="s">
        <v>562</v>
      </c>
      <c r="C912" s="165" t="s">
        <v>463</v>
      </c>
      <c r="D912" s="165" t="s">
        <v>478</v>
      </c>
      <c r="E912" s="165"/>
      <c r="F912" s="157"/>
      <c r="G912" s="836" t="s">
        <v>778</v>
      </c>
      <c r="H912" s="836"/>
      <c r="I912" s="836"/>
      <c r="J912" s="836"/>
      <c r="K912" s="836"/>
      <c r="L912" s="836"/>
      <c r="M912" s="836"/>
      <c r="N912" s="836"/>
      <c r="O912" s="836"/>
      <c r="P912" s="836"/>
      <c r="Q912" s="836"/>
      <c r="R912" s="836"/>
      <c r="S912" s="833"/>
    </row>
    <row r="913" spans="1:19" ht="21" customHeight="1">
      <c r="A913" s="157"/>
      <c r="B913" s="175" t="s">
        <v>788</v>
      </c>
      <c r="C913" s="176">
        <v>300000001</v>
      </c>
      <c r="D913" s="195">
        <v>30</v>
      </c>
      <c r="E913" s="198" t="s">
        <v>821</v>
      </c>
      <c r="F913" s="157" t="s">
        <v>789</v>
      </c>
      <c r="G913" s="172">
        <f>D911</f>
        <v>25000</v>
      </c>
      <c r="H913" s="165" t="s">
        <v>787</v>
      </c>
      <c r="I913" s="165">
        <f>D913</f>
        <v>30</v>
      </c>
      <c r="J913" s="157" t="s">
        <v>248</v>
      </c>
      <c r="K913" s="157"/>
      <c r="L913" s="157" t="s">
        <v>783</v>
      </c>
      <c r="M913" s="172">
        <f>C913</f>
        <v>300000001</v>
      </c>
      <c r="N913" s="157"/>
      <c r="O913" s="157" t="s">
        <v>784</v>
      </c>
      <c r="P913" s="157"/>
      <c r="Q913" s="199">
        <f>ROUND(G913*D913*100/M913,4)</f>
        <v>0.25</v>
      </c>
      <c r="R913" s="165" t="s">
        <v>562</v>
      </c>
      <c r="S913" s="833"/>
    </row>
    <row r="914" spans="1:19" ht="21" customHeight="1">
      <c r="A914" s="157"/>
      <c r="B914" s="157"/>
      <c r="C914" s="176">
        <v>350000000</v>
      </c>
      <c r="D914" s="195">
        <v>32</v>
      </c>
      <c r="E914" s="198" t="s">
        <v>821</v>
      </c>
      <c r="F914" s="157" t="s">
        <v>789</v>
      </c>
      <c r="G914" s="172">
        <f>D911</f>
        <v>25000</v>
      </c>
      <c r="H914" s="165" t="s">
        <v>787</v>
      </c>
      <c r="I914" s="165">
        <f>D914</f>
        <v>32</v>
      </c>
      <c r="J914" s="157" t="s">
        <v>248</v>
      </c>
      <c r="K914" s="157"/>
      <c r="L914" s="157" t="s">
        <v>783</v>
      </c>
      <c r="M914" s="172">
        <f>C914</f>
        <v>350000000</v>
      </c>
      <c r="N914" s="157"/>
      <c r="O914" s="157" t="s">
        <v>784</v>
      </c>
      <c r="P914" s="157"/>
      <c r="Q914" s="199">
        <f>ROUND(G914*D914*100/M914,4)</f>
        <v>0.2286</v>
      </c>
      <c r="R914" s="165" t="s">
        <v>562</v>
      </c>
      <c r="S914" s="833"/>
    </row>
    <row r="915" spans="1:19" ht="21" customHeight="1">
      <c r="A915" s="157"/>
      <c r="B915" s="157"/>
      <c r="C915" s="176">
        <v>400000000</v>
      </c>
      <c r="D915" s="195">
        <v>36</v>
      </c>
      <c r="E915" s="198" t="s">
        <v>821</v>
      </c>
      <c r="F915" s="157" t="s">
        <v>789</v>
      </c>
      <c r="G915" s="172">
        <f>D911</f>
        <v>25000</v>
      </c>
      <c r="H915" s="165" t="s">
        <v>787</v>
      </c>
      <c r="I915" s="165">
        <f>D915</f>
        <v>36</v>
      </c>
      <c r="J915" s="157" t="s">
        <v>248</v>
      </c>
      <c r="K915" s="157"/>
      <c r="L915" s="157" t="s">
        <v>783</v>
      </c>
      <c r="M915" s="172">
        <f>C915</f>
        <v>400000000</v>
      </c>
      <c r="N915" s="157"/>
      <c r="O915" s="157" t="s">
        <v>784</v>
      </c>
      <c r="P915" s="157"/>
      <c r="Q915" s="199">
        <f>ROUND(G915*D915*100/M915,4)</f>
        <v>0.225</v>
      </c>
      <c r="R915" s="165" t="s">
        <v>562</v>
      </c>
      <c r="S915" s="833"/>
    </row>
    <row r="916" spans="1:19" ht="21" customHeight="1">
      <c r="A916" s="157"/>
      <c r="B916" s="157"/>
      <c r="C916" s="176">
        <v>500000000</v>
      </c>
      <c r="D916" s="195">
        <v>36</v>
      </c>
      <c r="E916" s="198" t="s">
        <v>821</v>
      </c>
      <c r="F916" s="157" t="s">
        <v>789</v>
      </c>
      <c r="G916" s="172">
        <f>D911</f>
        <v>25000</v>
      </c>
      <c r="H916" s="165" t="s">
        <v>787</v>
      </c>
      <c r="I916" s="165">
        <f>D916</f>
        <v>36</v>
      </c>
      <c r="J916" s="157" t="s">
        <v>248</v>
      </c>
      <c r="K916" s="157"/>
      <c r="L916" s="157" t="s">
        <v>783</v>
      </c>
      <c r="M916" s="172">
        <f>C916</f>
        <v>500000000</v>
      </c>
      <c r="N916" s="157"/>
      <c r="O916" s="157" t="s">
        <v>784</v>
      </c>
      <c r="P916" s="157"/>
      <c r="Q916" s="199">
        <f>ROUND(G916*D916*100/M916,4)</f>
        <v>0.18</v>
      </c>
      <c r="R916" s="165" t="s">
        <v>562</v>
      </c>
      <c r="S916" s="833"/>
    </row>
    <row r="917" spans="1:19" ht="21" customHeight="1">
      <c r="A917" s="157"/>
      <c r="B917" s="157"/>
      <c r="C917" s="157"/>
      <c r="D917" s="157"/>
      <c r="E917" s="157"/>
      <c r="F917" s="157"/>
      <c r="G917" s="157"/>
      <c r="H917" s="157"/>
      <c r="I917" s="157"/>
      <c r="J917" s="157"/>
      <c r="K917" s="157"/>
      <c r="L917" s="157"/>
      <c r="M917" s="200" t="s">
        <v>823</v>
      </c>
      <c r="N917" s="157"/>
      <c r="O917" s="157" t="s">
        <v>784</v>
      </c>
      <c r="P917" s="157"/>
      <c r="Q917" s="201">
        <f>ROUND((Q913+Q914+Q915+Q916)/4,4)</f>
        <v>0.2209</v>
      </c>
      <c r="R917" s="157"/>
      <c r="S917" s="833"/>
    </row>
    <row r="918" spans="1:19" ht="21" customHeight="1">
      <c r="A918" s="835" t="s">
        <v>330</v>
      </c>
      <c r="B918" s="835"/>
      <c r="C918" s="835"/>
      <c r="D918" s="835"/>
      <c r="E918" s="835"/>
      <c r="F918" s="835"/>
      <c r="G918" s="835"/>
      <c r="H918" s="835"/>
      <c r="I918" s="835"/>
      <c r="J918" s="835"/>
      <c r="K918" s="835"/>
      <c r="L918" s="835"/>
      <c r="M918" s="835"/>
      <c r="N918" s="835"/>
      <c r="O918" s="835"/>
      <c r="P918" s="835"/>
      <c r="Q918" s="835"/>
      <c r="R918" s="835"/>
      <c r="S918" s="833"/>
    </row>
    <row r="919" spans="1:19" ht="21" customHeight="1">
      <c r="A919" s="157"/>
      <c r="B919" s="165" t="s">
        <v>331</v>
      </c>
      <c r="C919" s="210" t="s">
        <v>332</v>
      </c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832" t="s">
        <v>333</v>
      </c>
    </row>
    <row r="920" spans="1:19" ht="21" customHeight="1">
      <c r="A920" s="157"/>
      <c r="B920" s="157"/>
      <c r="C920" s="157" t="s">
        <v>318</v>
      </c>
      <c r="D920" s="195">
        <v>30000</v>
      </c>
      <c r="E920" s="157" t="s">
        <v>315</v>
      </c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833"/>
    </row>
    <row r="921" spans="1:19" ht="21" customHeight="1">
      <c r="A921" s="157"/>
      <c r="B921" s="157" t="s">
        <v>562</v>
      </c>
      <c r="C921" s="165" t="s">
        <v>463</v>
      </c>
      <c r="D921" s="165" t="s">
        <v>478</v>
      </c>
      <c r="E921" s="165"/>
      <c r="F921" s="157"/>
      <c r="G921" s="174" t="s">
        <v>778</v>
      </c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833"/>
    </row>
    <row r="922" spans="1:19" ht="21" customHeight="1">
      <c r="A922" s="157"/>
      <c r="B922" s="175" t="s">
        <v>788</v>
      </c>
      <c r="C922" s="176">
        <v>500000001</v>
      </c>
      <c r="D922" s="195">
        <v>36</v>
      </c>
      <c r="E922" s="198" t="s">
        <v>821</v>
      </c>
      <c r="F922" s="157" t="s">
        <v>789</v>
      </c>
      <c r="G922" s="172">
        <f>D920</f>
        <v>30000</v>
      </c>
      <c r="H922" s="165" t="s">
        <v>787</v>
      </c>
      <c r="I922" s="165">
        <f>D922</f>
        <v>36</v>
      </c>
      <c r="J922" s="157" t="s">
        <v>248</v>
      </c>
      <c r="K922" s="157"/>
      <c r="L922" s="157" t="s">
        <v>783</v>
      </c>
      <c r="M922" s="172">
        <f>C922</f>
        <v>500000001</v>
      </c>
      <c r="N922" s="157"/>
      <c r="O922" s="157" t="s">
        <v>784</v>
      </c>
      <c r="P922" s="157"/>
      <c r="Q922" s="199">
        <f>ROUND(G922*D922*100/M922,4)</f>
        <v>0.216</v>
      </c>
      <c r="R922" s="165" t="s">
        <v>562</v>
      </c>
      <c r="S922" s="833"/>
    </row>
    <row r="923" spans="1:19" ht="21" customHeight="1">
      <c r="A923" s="157"/>
      <c r="B923" s="157"/>
      <c r="C923" s="176">
        <v>1000000000</v>
      </c>
      <c r="D923" s="195">
        <v>40</v>
      </c>
      <c r="E923" s="198" t="s">
        <v>821</v>
      </c>
      <c r="F923" s="157" t="s">
        <v>789</v>
      </c>
      <c r="G923" s="172">
        <f>D920</f>
        <v>30000</v>
      </c>
      <c r="H923" s="165" t="s">
        <v>787</v>
      </c>
      <c r="I923" s="165">
        <f>D923</f>
        <v>40</v>
      </c>
      <c r="J923" s="157" t="s">
        <v>248</v>
      </c>
      <c r="K923" s="157"/>
      <c r="L923" s="157" t="s">
        <v>783</v>
      </c>
      <c r="M923" s="172">
        <f>C923</f>
        <v>1000000000</v>
      </c>
      <c r="N923" s="157"/>
      <c r="O923" s="157" t="s">
        <v>784</v>
      </c>
      <c r="P923" s="157"/>
      <c r="Q923" s="199">
        <f>ROUND(G923*D923*100/M923,4)</f>
        <v>0.12</v>
      </c>
      <c r="R923" s="165" t="s">
        <v>562</v>
      </c>
      <c r="S923" s="833"/>
    </row>
    <row r="924" spans="1:19" ht="21" customHeight="1">
      <c r="A924" s="157"/>
      <c r="B924" s="157"/>
      <c r="C924" s="157"/>
      <c r="D924" s="157"/>
      <c r="E924" s="157"/>
      <c r="F924" s="157"/>
      <c r="G924" s="157"/>
      <c r="H924" s="157"/>
      <c r="I924" s="157"/>
      <c r="J924" s="157"/>
      <c r="K924" s="157"/>
      <c r="L924" s="157"/>
      <c r="M924" s="200" t="s">
        <v>823</v>
      </c>
      <c r="N924" s="157"/>
      <c r="O924" s="157" t="s">
        <v>784</v>
      </c>
      <c r="P924" s="157"/>
      <c r="Q924" s="201">
        <f>ROUND((Q922+Q923)/2,4)</f>
        <v>0.168</v>
      </c>
      <c r="R924" s="157"/>
      <c r="S924" s="833"/>
    </row>
    <row r="925" spans="1:19" ht="21" customHeight="1">
      <c r="A925" s="157"/>
      <c r="B925" s="211" t="s">
        <v>562</v>
      </c>
      <c r="C925" s="210" t="s">
        <v>334</v>
      </c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833"/>
    </row>
    <row r="926" spans="1:19" ht="21" customHeight="1">
      <c r="A926" s="157"/>
      <c r="B926" s="157"/>
      <c r="C926" s="157" t="s">
        <v>197</v>
      </c>
      <c r="D926" s="157"/>
      <c r="E926" s="157"/>
      <c r="F926" s="165" t="s">
        <v>789</v>
      </c>
      <c r="G926" s="305">
        <f>Q874</f>
        <v>1.32</v>
      </c>
      <c r="H926" s="157"/>
      <c r="I926" s="164" t="s">
        <v>53</v>
      </c>
      <c r="J926" s="157"/>
      <c r="K926" s="157"/>
      <c r="L926" s="157"/>
      <c r="M926" s="157"/>
      <c r="N926" s="157"/>
      <c r="O926" s="157"/>
      <c r="P926" s="157"/>
      <c r="Q926" s="157"/>
      <c r="R926" s="157"/>
      <c r="S926" s="833"/>
    </row>
    <row r="927" spans="1:19" ht="21" customHeight="1">
      <c r="A927" s="157"/>
      <c r="B927" s="157"/>
      <c r="C927" s="157" t="s">
        <v>198</v>
      </c>
      <c r="D927" s="157"/>
      <c r="E927" s="157"/>
      <c r="F927" s="165" t="s">
        <v>789</v>
      </c>
      <c r="G927" s="305">
        <f>Q882</f>
        <v>0.4925</v>
      </c>
      <c r="H927" s="157"/>
      <c r="I927" s="164" t="s">
        <v>53</v>
      </c>
      <c r="J927" s="157"/>
      <c r="K927" s="157"/>
      <c r="L927" s="157"/>
      <c r="M927" s="157"/>
      <c r="N927" s="157"/>
      <c r="O927" s="157"/>
      <c r="P927" s="157"/>
      <c r="Q927" s="157"/>
      <c r="R927" s="157"/>
      <c r="S927" s="833"/>
    </row>
    <row r="928" spans="1:19" ht="21" customHeight="1">
      <c r="A928" s="157"/>
      <c r="B928" s="157"/>
      <c r="C928" s="157" t="s">
        <v>199</v>
      </c>
      <c r="D928" s="157"/>
      <c r="E928" s="157"/>
      <c r="F928" s="165" t="s">
        <v>789</v>
      </c>
      <c r="G928" s="305">
        <f>Q890</f>
        <v>0.2988</v>
      </c>
      <c r="H928" s="157"/>
      <c r="I928" s="164" t="s">
        <v>53</v>
      </c>
      <c r="J928" s="157"/>
      <c r="K928" s="157"/>
      <c r="L928" s="157"/>
      <c r="M928" s="157"/>
      <c r="N928" s="157"/>
      <c r="O928" s="157"/>
      <c r="P928" s="157"/>
      <c r="Q928" s="157"/>
      <c r="R928" s="157"/>
      <c r="S928" s="833"/>
    </row>
    <row r="929" spans="1:19" ht="21" customHeight="1">
      <c r="A929" s="157"/>
      <c r="B929" s="157"/>
      <c r="C929" s="157" t="s">
        <v>201</v>
      </c>
      <c r="D929" s="157"/>
      <c r="E929" s="157"/>
      <c r="F929" s="165" t="s">
        <v>789</v>
      </c>
      <c r="G929" s="305">
        <f>Q902</f>
        <v>0.2697</v>
      </c>
      <c r="H929" s="157"/>
      <c r="I929" s="164" t="s">
        <v>53</v>
      </c>
      <c r="J929" s="157"/>
      <c r="K929" s="157"/>
      <c r="L929" s="157"/>
      <c r="M929" s="157"/>
      <c r="N929" s="157"/>
      <c r="O929" s="157"/>
      <c r="P929" s="157"/>
      <c r="Q929" s="157"/>
      <c r="R929" s="157"/>
      <c r="S929" s="833"/>
    </row>
    <row r="930" spans="1:19" ht="21" customHeight="1">
      <c r="A930" s="157"/>
      <c r="B930" s="157"/>
      <c r="C930" s="157" t="s">
        <v>202</v>
      </c>
      <c r="D930" s="157"/>
      <c r="E930" s="157"/>
      <c r="F930" s="165" t="s">
        <v>789</v>
      </c>
      <c r="G930" s="305">
        <f>Q910</f>
        <v>0.2715</v>
      </c>
      <c r="H930" s="157"/>
      <c r="I930" s="164" t="s">
        <v>53</v>
      </c>
      <c r="J930" s="157"/>
      <c r="K930" s="157"/>
      <c r="L930" s="157"/>
      <c r="M930" s="157"/>
      <c r="N930" s="157"/>
      <c r="O930" s="157"/>
      <c r="P930" s="157"/>
      <c r="Q930" s="157"/>
      <c r="R930" s="157"/>
      <c r="S930" s="833"/>
    </row>
    <row r="931" spans="1:19" ht="21" customHeight="1">
      <c r="A931" s="157"/>
      <c r="B931" s="157"/>
      <c r="C931" s="157" t="s">
        <v>203</v>
      </c>
      <c r="D931" s="157"/>
      <c r="E931" s="157"/>
      <c r="F931" s="165" t="s">
        <v>789</v>
      </c>
      <c r="G931" s="305">
        <f>Q917</f>
        <v>0.2209</v>
      </c>
      <c r="H931" s="157"/>
      <c r="I931" s="164" t="s">
        <v>53</v>
      </c>
      <c r="J931" s="157"/>
      <c r="K931" s="157"/>
      <c r="L931" s="157"/>
      <c r="M931" s="157"/>
      <c r="N931" s="157"/>
      <c r="O931" s="157"/>
      <c r="P931" s="157"/>
      <c r="Q931" s="157"/>
      <c r="R931" s="157"/>
      <c r="S931" s="833"/>
    </row>
    <row r="932" spans="1:19" ht="21" customHeight="1">
      <c r="A932" s="157"/>
      <c r="B932" s="157"/>
      <c r="C932" s="157" t="s">
        <v>204</v>
      </c>
      <c r="D932" s="164"/>
      <c r="E932" s="157"/>
      <c r="F932" s="165" t="s">
        <v>789</v>
      </c>
      <c r="G932" s="305">
        <f>Q924</f>
        <v>0.168</v>
      </c>
      <c r="H932" s="157"/>
      <c r="I932" s="164" t="s">
        <v>53</v>
      </c>
      <c r="J932" s="165"/>
      <c r="K932" s="165" t="s">
        <v>562</v>
      </c>
      <c r="L932" s="165"/>
      <c r="M932" s="237" t="s">
        <v>562</v>
      </c>
      <c r="N932" s="157"/>
      <c r="O932" s="157" t="s">
        <v>562</v>
      </c>
      <c r="P932" s="157"/>
      <c r="Q932" s="248" t="s">
        <v>562</v>
      </c>
      <c r="R932" s="157"/>
      <c r="S932" s="833"/>
    </row>
    <row r="933" spans="1:19" ht="21" customHeight="1">
      <c r="A933" s="302"/>
      <c r="B933" s="302"/>
      <c r="C933" s="302"/>
      <c r="D933" s="302"/>
      <c r="E933" s="302"/>
      <c r="F933" s="302"/>
      <c r="G933" s="302"/>
      <c r="H933" s="302"/>
      <c r="I933" s="302"/>
      <c r="J933" s="302"/>
      <c r="K933" s="302"/>
      <c r="L933" s="185"/>
      <c r="M933" s="306" t="s">
        <v>562</v>
      </c>
      <c r="N933" s="302"/>
      <c r="O933" s="302" t="s">
        <v>562</v>
      </c>
      <c r="P933" s="302"/>
      <c r="Q933" s="307" t="s">
        <v>562</v>
      </c>
      <c r="R933" s="302"/>
      <c r="S933" s="833"/>
    </row>
    <row r="934" spans="1:19" ht="21" customHeight="1">
      <c r="A934" s="251"/>
      <c r="B934" s="308" t="s">
        <v>519</v>
      </c>
      <c r="C934" s="252" t="s">
        <v>335</v>
      </c>
      <c r="D934" s="251"/>
      <c r="E934" s="251"/>
      <c r="F934" s="251"/>
      <c r="G934" s="251"/>
      <c r="H934" s="251"/>
      <c r="I934" s="251"/>
      <c r="J934" s="251"/>
      <c r="K934" s="251"/>
      <c r="L934" s="251"/>
      <c r="M934" s="251"/>
      <c r="N934" s="251"/>
      <c r="O934" s="251"/>
      <c r="P934" s="251"/>
      <c r="Q934" s="251"/>
      <c r="R934" s="251"/>
      <c r="S934" s="833"/>
    </row>
    <row r="935" spans="1:19" ht="21" customHeight="1">
      <c r="A935" s="292"/>
      <c r="B935" s="292" t="s">
        <v>562</v>
      </c>
      <c r="C935" s="294" t="s">
        <v>483</v>
      </c>
      <c r="D935" s="292"/>
      <c r="E935" s="309" t="s">
        <v>484</v>
      </c>
      <c r="F935" s="292"/>
      <c r="G935" s="294" t="s">
        <v>485</v>
      </c>
      <c r="H935" s="295"/>
      <c r="I935" s="295"/>
      <c r="J935" s="295"/>
      <c r="K935" s="295"/>
      <c r="L935" s="292"/>
      <c r="M935" s="294" t="s">
        <v>486</v>
      </c>
      <c r="N935" s="295"/>
      <c r="O935" s="292"/>
      <c r="P935" s="292"/>
      <c r="Q935" s="294" t="s">
        <v>487</v>
      </c>
      <c r="R935" s="295"/>
      <c r="S935" s="833"/>
    </row>
    <row r="936" spans="1:19" ht="21" customHeight="1">
      <c r="A936" s="292"/>
      <c r="B936" s="296" t="s">
        <v>788</v>
      </c>
      <c r="C936" s="297">
        <v>500000</v>
      </c>
      <c r="D936" s="292"/>
      <c r="E936" s="310">
        <f aca="true" t="shared" si="31" ref="E936:E944">Q600</f>
        <v>0.8316</v>
      </c>
      <c r="F936" s="295" t="s">
        <v>140</v>
      </c>
      <c r="G936" s="299">
        <f aca="true" t="shared" si="32" ref="G936:G941">Q831</f>
        <v>0.5873</v>
      </c>
      <c r="H936" s="295"/>
      <c r="I936" s="295"/>
      <c r="J936" s="295" t="s">
        <v>140</v>
      </c>
      <c r="K936" s="295"/>
      <c r="L936" s="295"/>
      <c r="M936" s="299">
        <f>G926</f>
        <v>1.32</v>
      </c>
      <c r="N936" s="292"/>
      <c r="O936" s="292" t="s">
        <v>784</v>
      </c>
      <c r="P936" s="292"/>
      <c r="Q936" s="311">
        <f aca="true" t="shared" si="33" ref="Q936:Q944">E936+G936+M936</f>
        <v>2.7389</v>
      </c>
      <c r="R936" s="292"/>
      <c r="S936" s="833"/>
    </row>
    <row r="937" spans="1:19" ht="21" customHeight="1">
      <c r="A937" s="292"/>
      <c r="B937" s="292"/>
      <c r="C937" s="297">
        <v>1000000</v>
      </c>
      <c r="D937" s="292"/>
      <c r="E937" s="310">
        <f t="shared" si="31"/>
        <v>0.8316</v>
      </c>
      <c r="F937" s="295" t="s">
        <v>140</v>
      </c>
      <c r="G937" s="299">
        <f t="shared" si="32"/>
        <v>0.5873</v>
      </c>
      <c r="H937" s="295"/>
      <c r="I937" s="295"/>
      <c r="J937" s="295" t="s">
        <v>140</v>
      </c>
      <c r="K937" s="295"/>
      <c r="L937" s="295"/>
      <c r="M937" s="299">
        <f>G926</f>
        <v>1.32</v>
      </c>
      <c r="N937" s="292"/>
      <c r="O937" s="292" t="s">
        <v>784</v>
      </c>
      <c r="P937" s="292"/>
      <c r="Q937" s="311">
        <f t="shared" si="33"/>
        <v>2.7389</v>
      </c>
      <c r="R937" s="292"/>
      <c r="S937" s="833"/>
    </row>
    <row r="938" spans="1:19" ht="21" customHeight="1">
      <c r="A938" s="292"/>
      <c r="B938" s="292"/>
      <c r="C938" s="297">
        <v>2000000</v>
      </c>
      <c r="D938" s="292"/>
      <c r="E938" s="310">
        <f t="shared" si="31"/>
        <v>0.8316</v>
      </c>
      <c r="F938" s="295" t="s">
        <v>140</v>
      </c>
      <c r="G938" s="299">
        <f t="shared" si="32"/>
        <v>0.5873</v>
      </c>
      <c r="H938" s="295"/>
      <c r="I938" s="295"/>
      <c r="J938" s="295" t="s">
        <v>140</v>
      </c>
      <c r="K938" s="295"/>
      <c r="L938" s="295"/>
      <c r="M938" s="299">
        <f>G926</f>
        <v>1.32</v>
      </c>
      <c r="N938" s="292"/>
      <c r="O938" s="292" t="s">
        <v>784</v>
      </c>
      <c r="P938" s="292"/>
      <c r="Q938" s="311">
        <f t="shared" si="33"/>
        <v>2.7389</v>
      </c>
      <c r="R938" s="292"/>
      <c r="S938" s="833"/>
    </row>
    <row r="939" spans="1:19" ht="21" customHeight="1">
      <c r="A939" s="292"/>
      <c r="B939" s="292"/>
      <c r="C939" s="297">
        <v>5000000</v>
      </c>
      <c r="D939" s="292"/>
      <c r="E939" s="310">
        <f t="shared" si="31"/>
        <v>0.8316</v>
      </c>
      <c r="F939" s="295" t="s">
        <v>140</v>
      </c>
      <c r="G939" s="299">
        <f t="shared" si="32"/>
        <v>0.5873</v>
      </c>
      <c r="H939" s="295"/>
      <c r="I939" s="295"/>
      <c r="J939" s="295" t="s">
        <v>140</v>
      </c>
      <c r="K939" s="295"/>
      <c r="L939" s="295"/>
      <c r="M939" s="299">
        <f>G926</f>
        <v>1.32</v>
      </c>
      <c r="N939" s="292"/>
      <c r="O939" s="292" t="s">
        <v>784</v>
      </c>
      <c r="P939" s="292"/>
      <c r="Q939" s="311">
        <f t="shared" si="33"/>
        <v>2.7389</v>
      </c>
      <c r="R939" s="292"/>
      <c r="S939" s="833"/>
    </row>
    <row r="940" spans="1:19" ht="21" customHeight="1">
      <c r="A940" s="292"/>
      <c r="B940" s="292"/>
      <c r="C940" s="297">
        <v>10000000</v>
      </c>
      <c r="D940" s="292"/>
      <c r="E940" s="310">
        <f t="shared" si="31"/>
        <v>0.8316</v>
      </c>
      <c r="F940" s="295" t="s">
        <v>140</v>
      </c>
      <c r="G940" s="299">
        <f t="shared" si="32"/>
        <v>0.5873</v>
      </c>
      <c r="H940" s="295"/>
      <c r="I940" s="295"/>
      <c r="J940" s="295" t="s">
        <v>140</v>
      </c>
      <c r="K940" s="295"/>
      <c r="L940" s="295"/>
      <c r="M940" s="299">
        <f>G926</f>
        <v>1.32</v>
      </c>
      <c r="N940" s="292"/>
      <c r="O940" s="292" t="s">
        <v>784</v>
      </c>
      <c r="P940" s="292"/>
      <c r="Q940" s="311">
        <f t="shared" si="33"/>
        <v>2.7389</v>
      </c>
      <c r="R940" s="292"/>
      <c r="S940" s="833"/>
    </row>
    <row r="941" spans="1:19" ht="21" customHeight="1">
      <c r="A941" s="292"/>
      <c r="B941" s="292"/>
      <c r="C941" s="297">
        <v>15000000</v>
      </c>
      <c r="D941" s="292"/>
      <c r="E941" s="310">
        <f t="shared" si="31"/>
        <v>0.8316</v>
      </c>
      <c r="F941" s="295" t="s">
        <v>140</v>
      </c>
      <c r="G941" s="299">
        <f t="shared" si="32"/>
        <v>0.5405000000000001</v>
      </c>
      <c r="H941" s="295"/>
      <c r="I941" s="295"/>
      <c r="J941" s="295" t="s">
        <v>140</v>
      </c>
      <c r="K941" s="295"/>
      <c r="L941" s="295"/>
      <c r="M941" s="299">
        <f>G927</f>
        <v>0.4925</v>
      </c>
      <c r="N941" s="292"/>
      <c r="O941" s="292" t="s">
        <v>784</v>
      </c>
      <c r="P941" s="292"/>
      <c r="Q941" s="311">
        <f t="shared" si="33"/>
        <v>1.8646</v>
      </c>
      <c r="R941" s="292"/>
      <c r="S941" s="833"/>
    </row>
    <row r="942" spans="1:19" ht="21" customHeight="1">
      <c r="A942" s="292"/>
      <c r="B942" s="292"/>
      <c r="C942" s="297">
        <v>20000000</v>
      </c>
      <c r="D942" s="292"/>
      <c r="E942" s="310">
        <f t="shared" si="31"/>
        <v>0.8316</v>
      </c>
      <c r="F942" s="295" t="s">
        <v>140</v>
      </c>
      <c r="G942" s="299">
        <f>Q840</f>
        <v>0.5405000000000001</v>
      </c>
      <c r="H942" s="295"/>
      <c r="I942" s="295"/>
      <c r="J942" s="295" t="s">
        <v>140</v>
      </c>
      <c r="K942" s="295"/>
      <c r="L942" s="295"/>
      <c r="M942" s="299">
        <f>G927</f>
        <v>0.4925</v>
      </c>
      <c r="N942" s="292"/>
      <c r="O942" s="292" t="s">
        <v>784</v>
      </c>
      <c r="P942" s="292"/>
      <c r="Q942" s="311">
        <f t="shared" si="33"/>
        <v>1.8646</v>
      </c>
      <c r="R942" s="292"/>
      <c r="S942" s="833"/>
    </row>
    <row r="943" spans="1:19" ht="21" customHeight="1">
      <c r="A943" s="292"/>
      <c r="B943" s="292"/>
      <c r="C943" s="297">
        <v>25000000</v>
      </c>
      <c r="D943" s="292"/>
      <c r="E943" s="310">
        <f t="shared" si="31"/>
        <v>0.8316</v>
      </c>
      <c r="F943" s="295" t="s">
        <v>140</v>
      </c>
      <c r="G943" s="299">
        <f>Q841</f>
        <v>0.5405000000000001</v>
      </c>
      <c r="H943" s="295"/>
      <c r="I943" s="295"/>
      <c r="J943" s="295" t="s">
        <v>140</v>
      </c>
      <c r="K943" s="295"/>
      <c r="L943" s="295"/>
      <c r="M943" s="299">
        <f>G927</f>
        <v>0.4925</v>
      </c>
      <c r="N943" s="292"/>
      <c r="O943" s="292" t="s">
        <v>784</v>
      </c>
      <c r="P943" s="292"/>
      <c r="Q943" s="311">
        <f t="shared" si="33"/>
        <v>1.8646</v>
      </c>
      <c r="R943" s="292"/>
      <c r="S943" s="833"/>
    </row>
    <row r="944" spans="1:19" ht="21" customHeight="1">
      <c r="A944" s="292"/>
      <c r="B944" s="292"/>
      <c r="C944" s="297">
        <v>30000000</v>
      </c>
      <c r="D944" s="292"/>
      <c r="E944" s="310">
        <f t="shared" si="31"/>
        <v>0.8316</v>
      </c>
      <c r="F944" s="295" t="s">
        <v>140</v>
      </c>
      <c r="G944" s="299">
        <f>Q842</f>
        <v>0.1048</v>
      </c>
      <c r="H944" s="295"/>
      <c r="I944" s="295"/>
      <c r="J944" s="295" t="s">
        <v>140</v>
      </c>
      <c r="K944" s="295"/>
      <c r="L944" s="295"/>
      <c r="M944" s="299">
        <f>G927</f>
        <v>0.4925</v>
      </c>
      <c r="N944" s="292"/>
      <c r="O944" s="292" t="s">
        <v>784</v>
      </c>
      <c r="P944" s="292"/>
      <c r="Q944" s="311">
        <f t="shared" si="33"/>
        <v>1.4289</v>
      </c>
      <c r="R944" s="292"/>
      <c r="S944" s="833"/>
    </row>
    <row r="945" spans="1:19" ht="21" customHeight="1">
      <c r="A945" s="838" t="s">
        <v>336</v>
      </c>
      <c r="B945" s="838"/>
      <c r="C945" s="838"/>
      <c r="D945" s="838"/>
      <c r="E945" s="838"/>
      <c r="F945" s="838"/>
      <c r="G945" s="838"/>
      <c r="H945" s="838"/>
      <c r="I945" s="838"/>
      <c r="J945" s="838"/>
      <c r="K945" s="838"/>
      <c r="L945" s="838"/>
      <c r="M945" s="838"/>
      <c r="N945" s="838"/>
      <c r="O945" s="838"/>
      <c r="P945" s="838"/>
      <c r="Q945" s="838"/>
      <c r="R945" s="838"/>
      <c r="S945" s="833"/>
    </row>
    <row r="946" spans="1:19" ht="21" customHeight="1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3"/>
      <c r="O946" s="293"/>
      <c r="P946" s="293"/>
      <c r="Q946" s="293"/>
      <c r="R946" s="293"/>
      <c r="S946" s="832" t="s">
        <v>337</v>
      </c>
    </row>
    <row r="947" spans="1:19" ht="21" customHeight="1">
      <c r="A947" s="292"/>
      <c r="B947" s="296" t="s">
        <v>562</v>
      </c>
      <c r="C947" s="294" t="s">
        <v>483</v>
      </c>
      <c r="D947" s="292"/>
      <c r="E947" s="294" t="s">
        <v>488</v>
      </c>
      <c r="F947" s="292"/>
      <c r="G947" s="294" t="s">
        <v>485</v>
      </c>
      <c r="H947" s="295"/>
      <c r="I947" s="295"/>
      <c r="J947" s="295"/>
      <c r="K947" s="295"/>
      <c r="L947" s="292"/>
      <c r="M947" s="294" t="s">
        <v>486</v>
      </c>
      <c r="N947" s="295"/>
      <c r="O947" s="292"/>
      <c r="P947" s="292"/>
      <c r="Q947" s="294" t="s">
        <v>487</v>
      </c>
      <c r="R947" s="295"/>
      <c r="S947" s="833"/>
    </row>
    <row r="948" spans="1:19" ht="21" customHeight="1">
      <c r="A948" s="292"/>
      <c r="B948" s="296" t="s">
        <v>788</v>
      </c>
      <c r="C948" s="297">
        <v>40000000</v>
      </c>
      <c r="D948" s="292"/>
      <c r="E948" s="310">
        <f aca="true" t="shared" si="34" ref="E948:E959">Q609</f>
        <v>0.8316</v>
      </c>
      <c r="F948" s="295" t="s">
        <v>140</v>
      </c>
      <c r="G948" s="299">
        <f aca="true" t="shared" si="35" ref="G948:G954">Q843</f>
        <v>0.1048</v>
      </c>
      <c r="H948" s="295"/>
      <c r="I948" s="295"/>
      <c r="J948" s="295" t="s">
        <v>140</v>
      </c>
      <c r="K948" s="295"/>
      <c r="L948" s="295"/>
      <c r="M948" s="299">
        <f>G928</f>
        <v>0.2988</v>
      </c>
      <c r="N948" s="292"/>
      <c r="O948" s="292" t="s">
        <v>784</v>
      </c>
      <c r="P948" s="292"/>
      <c r="Q948" s="311">
        <f aca="true" t="shared" si="36" ref="Q948:Q962">E948+G948+M948</f>
        <v>1.2352</v>
      </c>
      <c r="R948" s="292"/>
      <c r="S948" s="833"/>
    </row>
    <row r="949" spans="1:19" ht="21" customHeight="1">
      <c r="A949" s="292"/>
      <c r="B949" s="292" t="s">
        <v>562</v>
      </c>
      <c r="C949" s="297">
        <v>50000000</v>
      </c>
      <c r="D949" s="292"/>
      <c r="E949" s="310">
        <f t="shared" si="34"/>
        <v>0.8316</v>
      </c>
      <c r="F949" s="295" t="s">
        <v>140</v>
      </c>
      <c r="G949" s="299">
        <f t="shared" si="35"/>
        <v>0.1048</v>
      </c>
      <c r="H949" s="295"/>
      <c r="I949" s="295"/>
      <c r="J949" s="295" t="s">
        <v>140</v>
      </c>
      <c r="K949" s="295"/>
      <c r="L949" s="295"/>
      <c r="M949" s="299">
        <f>G928</f>
        <v>0.2988</v>
      </c>
      <c r="N949" s="292"/>
      <c r="O949" s="292" t="s">
        <v>784</v>
      </c>
      <c r="P949" s="292"/>
      <c r="Q949" s="311">
        <f t="shared" si="36"/>
        <v>1.2352</v>
      </c>
      <c r="R949" s="292"/>
      <c r="S949" s="833"/>
    </row>
    <row r="950" spans="1:19" ht="21" customHeight="1">
      <c r="A950" s="292"/>
      <c r="B950" s="292"/>
      <c r="C950" s="297">
        <v>60000000</v>
      </c>
      <c r="D950" s="292"/>
      <c r="E950" s="310">
        <f t="shared" si="34"/>
        <v>0.8316</v>
      </c>
      <c r="F950" s="295" t="s">
        <v>140</v>
      </c>
      <c r="G950" s="299">
        <f t="shared" si="35"/>
        <v>0.0567</v>
      </c>
      <c r="H950" s="295"/>
      <c r="I950" s="295"/>
      <c r="J950" s="295" t="s">
        <v>140</v>
      </c>
      <c r="K950" s="295"/>
      <c r="L950" s="295"/>
      <c r="M950" s="299">
        <f>G929</f>
        <v>0.2697</v>
      </c>
      <c r="N950" s="292"/>
      <c r="O950" s="292" t="s">
        <v>784</v>
      </c>
      <c r="P950" s="292"/>
      <c r="Q950" s="311">
        <f t="shared" si="36"/>
        <v>1.158</v>
      </c>
      <c r="R950" s="292"/>
      <c r="S950" s="833"/>
    </row>
    <row r="951" spans="1:19" ht="21" customHeight="1">
      <c r="A951" s="292"/>
      <c r="B951" s="292" t="s">
        <v>562</v>
      </c>
      <c r="C951" s="297">
        <v>70000000</v>
      </c>
      <c r="D951" s="292"/>
      <c r="E951" s="310">
        <f t="shared" si="34"/>
        <v>0.8316</v>
      </c>
      <c r="F951" s="295" t="s">
        <v>140</v>
      </c>
      <c r="G951" s="299">
        <f t="shared" si="35"/>
        <v>0.0567</v>
      </c>
      <c r="H951" s="295"/>
      <c r="I951" s="295"/>
      <c r="J951" s="295" t="s">
        <v>140</v>
      </c>
      <c r="K951" s="295"/>
      <c r="L951" s="295"/>
      <c r="M951" s="299">
        <f>G929</f>
        <v>0.2697</v>
      </c>
      <c r="N951" s="292"/>
      <c r="O951" s="292" t="s">
        <v>784</v>
      </c>
      <c r="P951" s="292"/>
      <c r="Q951" s="311">
        <f t="shared" si="36"/>
        <v>1.158</v>
      </c>
      <c r="R951" s="292"/>
      <c r="S951" s="833"/>
    </row>
    <row r="952" spans="1:19" ht="21" customHeight="1">
      <c r="A952" s="292"/>
      <c r="B952" s="292"/>
      <c r="C952" s="297">
        <v>80000000</v>
      </c>
      <c r="D952" s="292"/>
      <c r="E952" s="310">
        <f t="shared" si="34"/>
        <v>0.8316</v>
      </c>
      <c r="F952" s="295" t="s">
        <v>140</v>
      </c>
      <c r="G952" s="299">
        <f t="shared" si="35"/>
        <v>0.0567</v>
      </c>
      <c r="H952" s="295"/>
      <c r="I952" s="295"/>
      <c r="J952" s="295" t="s">
        <v>140</v>
      </c>
      <c r="K952" s="295"/>
      <c r="L952" s="295"/>
      <c r="M952" s="299">
        <f>G929</f>
        <v>0.2697</v>
      </c>
      <c r="N952" s="292"/>
      <c r="O952" s="292" t="s">
        <v>784</v>
      </c>
      <c r="P952" s="292"/>
      <c r="Q952" s="311">
        <f t="shared" si="36"/>
        <v>1.158</v>
      </c>
      <c r="R952" s="292"/>
      <c r="S952" s="833"/>
    </row>
    <row r="953" spans="1:19" ht="21" customHeight="1">
      <c r="A953" s="292"/>
      <c r="B953" s="292"/>
      <c r="C953" s="297">
        <v>90000000</v>
      </c>
      <c r="D953" s="292"/>
      <c r="E953" s="310">
        <f t="shared" si="34"/>
        <v>0.8316</v>
      </c>
      <c r="F953" s="295" t="s">
        <v>140</v>
      </c>
      <c r="G953" s="299">
        <f t="shared" si="35"/>
        <v>0.0567</v>
      </c>
      <c r="H953" s="295"/>
      <c r="I953" s="295"/>
      <c r="J953" s="295" t="s">
        <v>140</v>
      </c>
      <c r="K953" s="295"/>
      <c r="L953" s="295"/>
      <c r="M953" s="299">
        <f>G929</f>
        <v>0.2697</v>
      </c>
      <c r="N953" s="292"/>
      <c r="O953" s="292" t="s">
        <v>784</v>
      </c>
      <c r="P953" s="292"/>
      <c r="Q953" s="311">
        <f t="shared" si="36"/>
        <v>1.158</v>
      </c>
      <c r="R953" s="292"/>
      <c r="S953" s="833"/>
    </row>
    <row r="954" spans="1:19" ht="21" customHeight="1">
      <c r="A954" s="292"/>
      <c r="B954" s="292"/>
      <c r="C954" s="297">
        <v>100000000</v>
      </c>
      <c r="D954" s="292"/>
      <c r="E954" s="310">
        <f t="shared" si="34"/>
        <v>0.8316</v>
      </c>
      <c r="F954" s="295" t="s">
        <v>140</v>
      </c>
      <c r="G954" s="299">
        <f t="shared" si="35"/>
        <v>0.0567</v>
      </c>
      <c r="H954" s="295"/>
      <c r="I954" s="295"/>
      <c r="J954" s="295" t="s">
        <v>140</v>
      </c>
      <c r="K954" s="295"/>
      <c r="L954" s="295"/>
      <c r="M954" s="299">
        <f>G929</f>
        <v>0.2697</v>
      </c>
      <c r="N954" s="292"/>
      <c r="O954" s="292" t="s">
        <v>784</v>
      </c>
      <c r="P954" s="292"/>
      <c r="Q954" s="311">
        <f t="shared" si="36"/>
        <v>1.158</v>
      </c>
      <c r="R954" s="292"/>
      <c r="S954" s="833"/>
    </row>
    <row r="955" spans="1:19" ht="21" customHeight="1">
      <c r="A955" s="292"/>
      <c r="B955" s="292"/>
      <c r="C955" s="297">
        <v>150000000</v>
      </c>
      <c r="D955" s="292"/>
      <c r="E955" s="310">
        <f t="shared" si="34"/>
        <v>0.8316</v>
      </c>
      <c r="F955" s="295" t="s">
        <v>140</v>
      </c>
      <c r="G955" s="299">
        <f>Q849</f>
        <v>0.0567</v>
      </c>
      <c r="H955" s="295"/>
      <c r="I955" s="295"/>
      <c r="J955" s="295" t="s">
        <v>140</v>
      </c>
      <c r="K955" s="295"/>
      <c r="L955" s="295"/>
      <c r="M955" s="299">
        <f>G930</f>
        <v>0.2715</v>
      </c>
      <c r="N955" s="292"/>
      <c r="O955" s="292" t="s">
        <v>784</v>
      </c>
      <c r="P955" s="292"/>
      <c r="Q955" s="311">
        <f t="shared" si="36"/>
        <v>1.1598</v>
      </c>
      <c r="R955" s="292"/>
      <c r="S955" s="833"/>
    </row>
    <row r="956" spans="1:19" ht="21" customHeight="1">
      <c r="A956" s="292"/>
      <c r="B956" s="292"/>
      <c r="C956" s="297">
        <v>200000000</v>
      </c>
      <c r="D956" s="292"/>
      <c r="E956" s="310">
        <f t="shared" si="34"/>
        <v>0.8316</v>
      </c>
      <c r="F956" s="295" t="s">
        <v>140</v>
      </c>
      <c r="G956" s="299">
        <f>Q853</f>
        <v>0.0429</v>
      </c>
      <c r="H956" s="295"/>
      <c r="I956" s="295"/>
      <c r="J956" s="295" t="s">
        <v>140</v>
      </c>
      <c r="K956" s="295"/>
      <c r="L956" s="295"/>
      <c r="M956" s="299">
        <f>G930</f>
        <v>0.2715</v>
      </c>
      <c r="N956" s="292"/>
      <c r="O956" s="292" t="s">
        <v>784</v>
      </c>
      <c r="P956" s="292"/>
      <c r="Q956" s="311">
        <f t="shared" si="36"/>
        <v>1.1460000000000001</v>
      </c>
      <c r="R956" s="292"/>
      <c r="S956" s="833"/>
    </row>
    <row r="957" spans="1:19" ht="21" customHeight="1">
      <c r="A957" s="292"/>
      <c r="B957" s="292"/>
      <c r="C957" s="297">
        <v>250000000</v>
      </c>
      <c r="D957" s="292"/>
      <c r="E957" s="310">
        <f t="shared" si="34"/>
        <v>0.8316</v>
      </c>
      <c r="F957" s="295" t="s">
        <v>140</v>
      </c>
      <c r="G957" s="299">
        <f>Q853</f>
        <v>0.0429</v>
      </c>
      <c r="H957" s="295"/>
      <c r="I957" s="295"/>
      <c r="J957" s="295" t="s">
        <v>140</v>
      </c>
      <c r="K957" s="295"/>
      <c r="L957" s="295"/>
      <c r="M957" s="299">
        <f>G930</f>
        <v>0.2715</v>
      </c>
      <c r="N957" s="292"/>
      <c r="O957" s="292" t="s">
        <v>784</v>
      </c>
      <c r="P957" s="292"/>
      <c r="Q957" s="311">
        <f t="shared" si="36"/>
        <v>1.1460000000000001</v>
      </c>
      <c r="R957" s="292"/>
      <c r="S957" s="833"/>
    </row>
    <row r="958" spans="1:19" ht="21" customHeight="1">
      <c r="A958" s="292"/>
      <c r="B958" s="292"/>
      <c r="C958" s="297">
        <v>300000000</v>
      </c>
      <c r="D958" s="292"/>
      <c r="E958" s="310">
        <f t="shared" si="34"/>
        <v>0.8316</v>
      </c>
      <c r="F958" s="295" t="s">
        <v>140</v>
      </c>
      <c r="G958" s="299">
        <f>Q853</f>
        <v>0.0429</v>
      </c>
      <c r="H958" s="295"/>
      <c r="I958" s="295"/>
      <c r="J958" s="295" t="s">
        <v>140</v>
      </c>
      <c r="K958" s="295"/>
      <c r="L958" s="295"/>
      <c r="M958" s="299">
        <f>G930</f>
        <v>0.2715</v>
      </c>
      <c r="N958" s="292"/>
      <c r="O958" s="292" t="s">
        <v>784</v>
      </c>
      <c r="P958" s="292"/>
      <c r="Q958" s="311">
        <f t="shared" si="36"/>
        <v>1.1460000000000001</v>
      </c>
      <c r="R958" s="292"/>
      <c r="S958" s="833"/>
    </row>
    <row r="959" spans="1:19" ht="21" customHeight="1">
      <c r="A959" s="292"/>
      <c r="B959" s="292"/>
      <c r="C959" s="297">
        <v>350000000</v>
      </c>
      <c r="D959" s="292"/>
      <c r="E959" s="310">
        <f t="shared" si="34"/>
        <v>0.8316</v>
      </c>
      <c r="F959" s="295" t="s">
        <v>140</v>
      </c>
      <c r="G959" s="299">
        <f>Q854</f>
        <v>0.0465</v>
      </c>
      <c r="H959" s="295"/>
      <c r="I959" s="295"/>
      <c r="J959" s="295" t="s">
        <v>140</v>
      </c>
      <c r="K959" s="295"/>
      <c r="L959" s="295"/>
      <c r="M959" s="299">
        <f>G930</f>
        <v>0.2715</v>
      </c>
      <c r="N959" s="292"/>
      <c r="O959" s="292" t="s">
        <v>784</v>
      </c>
      <c r="P959" s="292"/>
      <c r="Q959" s="311">
        <f t="shared" si="36"/>
        <v>1.1496</v>
      </c>
      <c r="R959" s="292"/>
      <c r="S959" s="833"/>
    </row>
    <row r="960" spans="1:19" ht="21" customHeight="1">
      <c r="A960" s="292"/>
      <c r="B960" s="292"/>
      <c r="C960" s="297">
        <v>400000000</v>
      </c>
      <c r="D960" s="292"/>
      <c r="E960" s="310">
        <f>Q623</f>
        <v>0.8316</v>
      </c>
      <c r="F960" s="295" t="s">
        <v>140</v>
      </c>
      <c r="G960" s="299">
        <f>Q855</f>
        <v>0.0465</v>
      </c>
      <c r="H960" s="295"/>
      <c r="I960" s="295"/>
      <c r="J960" s="295" t="s">
        <v>140</v>
      </c>
      <c r="K960" s="295"/>
      <c r="L960" s="295"/>
      <c r="M960" s="299">
        <f>G931</f>
        <v>0.2209</v>
      </c>
      <c r="N960" s="292"/>
      <c r="O960" s="292" t="s">
        <v>784</v>
      </c>
      <c r="P960" s="292"/>
      <c r="Q960" s="311">
        <f t="shared" si="36"/>
        <v>1.099</v>
      </c>
      <c r="R960" s="292"/>
      <c r="S960" s="833"/>
    </row>
    <row r="961" spans="1:19" ht="21" customHeight="1">
      <c r="A961" s="292"/>
      <c r="B961" s="292"/>
      <c r="C961" s="297">
        <v>500000000</v>
      </c>
      <c r="D961" s="292"/>
      <c r="E961" s="310">
        <f>Q624</f>
        <v>0.8316</v>
      </c>
      <c r="F961" s="295" t="s">
        <v>140</v>
      </c>
      <c r="G961" s="299">
        <f>Q856</f>
        <v>0.0465</v>
      </c>
      <c r="H961" s="295"/>
      <c r="I961" s="295"/>
      <c r="J961" s="295" t="s">
        <v>140</v>
      </c>
      <c r="K961" s="295"/>
      <c r="L961" s="295"/>
      <c r="M961" s="299">
        <f>G931</f>
        <v>0.2209</v>
      </c>
      <c r="N961" s="292"/>
      <c r="O961" s="292" t="s">
        <v>784</v>
      </c>
      <c r="P961" s="292"/>
      <c r="Q961" s="311">
        <f t="shared" si="36"/>
        <v>1.099</v>
      </c>
      <c r="R961" s="292"/>
      <c r="S961" s="833"/>
    </row>
    <row r="962" spans="1:19" ht="21" customHeight="1">
      <c r="A962" s="292"/>
      <c r="B962" s="292"/>
      <c r="C962" s="297">
        <v>1000000000</v>
      </c>
      <c r="D962" s="292"/>
      <c r="E962" s="310">
        <f>Q625</f>
        <v>0.8316</v>
      </c>
      <c r="F962" s="295" t="s">
        <v>140</v>
      </c>
      <c r="G962" s="299">
        <f>Q857</f>
        <v>0.035199999999999995</v>
      </c>
      <c r="H962" s="295"/>
      <c r="I962" s="295"/>
      <c r="J962" s="295" t="s">
        <v>140</v>
      </c>
      <c r="K962" s="295"/>
      <c r="L962" s="295"/>
      <c r="M962" s="299">
        <f>G932</f>
        <v>0.168</v>
      </c>
      <c r="N962" s="292"/>
      <c r="O962" s="292" t="s">
        <v>784</v>
      </c>
      <c r="P962" s="292"/>
      <c r="Q962" s="311">
        <f t="shared" si="36"/>
        <v>1.0348</v>
      </c>
      <c r="R962" s="292"/>
      <c r="S962" s="833"/>
    </row>
    <row r="963" spans="1:19" ht="21" customHeight="1">
      <c r="A963" s="157"/>
      <c r="B963" s="157"/>
      <c r="C963" s="157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74"/>
      <c r="O963" s="174"/>
      <c r="P963" s="174"/>
      <c r="Q963" s="174"/>
      <c r="R963" s="174"/>
      <c r="S963" s="833"/>
    </row>
    <row r="964" spans="1:19" ht="21" customHeight="1">
      <c r="A964" s="157"/>
      <c r="B964" s="162" t="s">
        <v>338</v>
      </c>
      <c r="C964" s="162" t="s">
        <v>339</v>
      </c>
      <c r="D964" s="162"/>
      <c r="E964" s="162"/>
      <c r="F964" s="157"/>
      <c r="G964" s="157"/>
      <c r="H964" s="157"/>
      <c r="I964" s="157"/>
      <c r="J964" s="157"/>
      <c r="K964" s="157"/>
      <c r="L964" s="157"/>
      <c r="M964" s="157" t="s">
        <v>562</v>
      </c>
      <c r="N964" s="157"/>
      <c r="O964" s="157"/>
      <c r="P964" s="157"/>
      <c r="Q964" s="157"/>
      <c r="R964" s="157"/>
      <c r="S964" s="833"/>
    </row>
    <row r="965" spans="1:19" ht="21" customHeight="1">
      <c r="A965" s="157"/>
      <c r="B965" s="157" t="s">
        <v>340</v>
      </c>
      <c r="C965" s="210" t="s">
        <v>341</v>
      </c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833"/>
    </row>
    <row r="966" spans="1:19" ht="21" customHeight="1">
      <c r="A966" s="157"/>
      <c r="B966" s="157"/>
      <c r="C966" s="157" t="s">
        <v>342</v>
      </c>
      <c r="D966" s="157"/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833"/>
    </row>
    <row r="967" spans="1:19" ht="21" customHeight="1">
      <c r="A967" s="157"/>
      <c r="B967" s="157"/>
      <c r="C967" s="157" t="s">
        <v>343</v>
      </c>
      <c r="D967" s="166">
        <v>60</v>
      </c>
      <c r="E967" s="157" t="s">
        <v>344</v>
      </c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833"/>
    </row>
    <row r="968" spans="1:19" ht="21" customHeight="1">
      <c r="A968" s="157"/>
      <c r="B968" s="157"/>
      <c r="C968" s="157" t="s">
        <v>345</v>
      </c>
      <c r="D968" s="166">
        <v>60</v>
      </c>
      <c r="E968" s="157" t="s">
        <v>344</v>
      </c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833"/>
    </row>
    <row r="969" spans="1:19" ht="21" customHeight="1">
      <c r="A969" s="157"/>
      <c r="B969" s="157"/>
      <c r="C969" s="157" t="s">
        <v>346</v>
      </c>
      <c r="D969" s="166">
        <v>60</v>
      </c>
      <c r="E969" s="157" t="s">
        <v>344</v>
      </c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833"/>
    </row>
    <row r="970" spans="1:19" ht="21" customHeight="1">
      <c r="A970" s="157"/>
      <c r="B970" s="157"/>
      <c r="C970" s="157" t="s">
        <v>347</v>
      </c>
      <c r="D970" s="234">
        <f>D967+D968+D969</f>
        <v>180</v>
      </c>
      <c r="E970" s="157" t="s">
        <v>344</v>
      </c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833"/>
    </row>
    <row r="971" spans="1:19" ht="21" customHeight="1">
      <c r="A971" s="157"/>
      <c r="B971" s="157"/>
      <c r="C971" s="157" t="s">
        <v>348</v>
      </c>
      <c r="D971" s="172">
        <f>D970</f>
        <v>180</v>
      </c>
      <c r="E971" s="157" t="s">
        <v>349</v>
      </c>
      <c r="F971" s="165" t="s">
        <v>789</v>
      </c>
      <c r="G971" s="177">
        <f>D971/6</f>
        <v>30</v>
      </c>
      <c r="H971" s="157"/>
      <c r="I971" s="157" t="s">
        <v>315</v>
      </c>
      <c r="J971" s="157"/>
      <c r="K971" s="157"/>
      <c r="L971" s="157"/>
      <c r="M971" s="157"/>
      <c r="N971" s="174"/>
      <c r="O971" s="174"/>
      <c r="P971" s="174"/>
      <c r="Q971" s="174"/>
      <c r="R971" s="174"/>
      <c r="S971" s="833"/>
    </row>
    <row r="972" spans="1:19" ht="21" customHeight="1">
      <c r="A972" s="835" t="s">
        <v>350</v>
      </c>
      <c r="B972" s="835"/>
      <c r="C972" s="835"/>
      <c r="D972" s="835"/>
      <c r="E972" s="835"/>
      <c r="F972" s="835"/>
      <c r="G972" s="835"/>
      <c r="H972" s="835"/>
      <c r="I972" s="835"/>
      <c r="J972" s="835"/>
      <c r="K972" s="835"/>
      <c r="L972" s="835"/>
      <c r="M972" s="835"/>
      <c r="N972" s="835"/>
      <c r="O972" s="835"/>
      <c r="P972" s="835"/>
      <c r="Q972" s="835"/>
      <c r="R972" s="835"/>
      <c r="S972" s="833"/>
    </row>
    <row r="973" spans="1:19" ht="21" customHeight="1">
      <c r="A973" s="157"/>
      <c r="B973" s="157" t="s">
        <v>351</v>
      </c>
      <c r="C973" s="210" t="s">
        <v>352</v>
      </c>
      <c r="D973" s="157"/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832" t="s">
        <v>353</v>
      </c>
    </row>
    <row r="974" spans="1:19" ht="21" customHeight="1">
      <c r="A974" s="157"/>
      <c r="B974" s="157"/>
      <c r="C974" s="157" t="s">
        <v>354</v>
      </c>
      <c r="D974" s="157"/>
      <c r="E974" s="166">
        <v>180</v>
      </c>
      <c r="F974" s="157"/>
      <c r="G974" s="157" t="s">
        <v>355</v>
      </c>
      <c r="H974" s="157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833"/>
    </row>
    <row r="975" spans="1:19" ht="21" customHeight="1">
      <c r="A975" s="157"/>
      <c r="B975" s="157"/>
      <c r="C975" s="157" t="s">
        <v>356</v>
      </c>
      <c r="D975" s="157"/>
      <c r="E975" s="230">
        <v>0.3</v>
      </c>
      <c r="F975" s="157"/>
      <c r="G975" s="157" t="s">
        <v>126</v>
      </c>
      <c r="H975" s="157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833"/>
    </row>
    <row r="976" spans="1:19" ht="21" customHeight="1">
      <c r="A976" s="157"/>
      <c r="B976" s="157"/>
      <c r="C976" s="157" t="s">
        <v>357</v>
      </c>
      <c r="D976" s="165" t="s">
        <v>358</v>
      </c>
      <c r="E976" s="157" t="s">
        <v>359</v>
      </c>
      <c r="F976" s="157" t="s">
        <v>789</v>
      </c>
      <c r="G976" s="231">
        <f>E975/E974</f>
        <v>0.0016666666666666666</v>
      </c>
      <c r="H976" s="157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833"/>
    </row>
    <row r="977" spans="1:19" ht="21" customHeight="1">
      <c r="A977" s="157"/>
      <c r="B977" s="157"/>
      <c r="C977" s="157" t="s">
        <v>360</v>
      </c>
      <c r="D977" s="157"/>
      <c r="E977" s="172" t="s">
        <v>562</v>
      </c>
      <c r="F977" s="157" t="s">
        <v>789</v>
      </c>
      <c r="G977" s="312">
        <f>G976</f>
        <v>0.0016666666666666666</v>
      </c>
      <c r="H977" s="157"/>
      <c r="I977" s="165" t="s">
        <v>787</v>
      </c>
      <c r="J977" s="172">
        <f>G971</f>
        <v>30</v>
      </c>
      <c r="K977" s="157" t="s">
        <v>156</v>
      </c>
      <c r="L977" s="157"/>
      <c r="M977" s="165" t="s">
        <v>784</v>
      </c>
      <c r="N977" s="313">
        <f>ROUND(G977*J977,5)</f>
        <v>0.05</v>
      </c>
      <c r="O977" s="157"/>
      <c r="P977" s="157"/>
      <c r="Q977" s="157" t="s">
        <v>361</v>
      </c>
      <c r="R977" s="157"/>
      <c r="S977" s="833"/>
    </row>
    <row r="978" spans="1:19" ht="21" customHeight="1">
      <c r="A978" s="157"/>
      <c r="B978" s="157"/>
      <c r="C978" s="157" t="s">
        <v>362</v>
      </c>
      <c r="D978" s="157"/>
      <c r="E978" s="157"/>
      <c r="F978" s="157" t="s">
        <v>789</v>
      </c>
      <c r="G978" s="314">
        <f>N977</f>
        <v>0.05</v>
      </c>
      <c r="H978" s="157"/>
      <c r="I978" s="165" t="s">
        <v>787</v>
      </c>
      <c r="J978" s="157" t="s">
        <v>363</v>
      </c>
      <c r="K978" s="157"/>
      <c r="L978" s="157"/>
      <c r="M978" s="165" t="s">
        <v>784</v>
      </c>
      <c r="N978" s="315">
        <f>ROUND(G978*70/100,4)</f>
        <v>0.035</v>
      </c>
      <c r="O978" s="157"/>
      <c r="P978" s="157"/>
      <c r="Q978" s="157" t="s">
        <v>361</v>
      </c>
      <c r="R978" s="157"/>
      <c r="S978" s="833"/>
    </row>
    <row r="979" spans="1:19" ht="21" customHeight="1">
      <c r="A979" s="157"/>
      <c r="B979" s="157" t="s">
        <v>364</v>
      </c>
      <c r="C979" s="210" t="s">
        <v>365</v>
      </c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833"/>
    </row>
    <row r="980" spans="1:19" ht="21" customHeight="1">
      <c r="A980" s="157"/>
      <c r="B980" s="157"/>
      <c r="C980" s="157" t="s">
        <v>366</v>
      </c>
      <c r="D980" s="157"/>
      <c r="E980" s="316">
        <v>0.001</v>
      </c>
      <c r="F980" s="157"/>
      <c r="G980" s="157" t="s">
        <v>126</v>
      </c>
      <c r="H980" s="157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833"/>
    </row>
    <row r="981" spans="1:19" ht="21" customHeight="1">
      <c r="A981" s="157"/>
      <c r="B981" s="211" t="s">
        <v>519</v>
      </c>
      <c r="C981" s="212" t="s">
        <v>367</v>
      </c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833"/>
    </row>
    <row r="982" spans="1:19" ht="21" customHeight="1">
      <c r="A982" s="157"/>
      <c r="B982" s="157" t="s">
        <v>562</v>
      </c>
      <c r="C982" s="165" t="s">
        <v>463</v>
      </c>
      <c r="D982" s="165" t="s">
        <v>478</v>
      </c>
      <c r="E982" s="165"/>
      <c r="F982" s="157"/>
      <c r="G982" s="836" t="s">
        <v>778</v>
      </c>
      <c r="H982" s="836"/>
      <c r="I982" s="836"/>
      <c r="J982" s="836"/>
      <c r="K982" s="836"/>
      <c r="L982" s="836"/>
      <c r="M982" s="836"/>
      <c r="N982" s="836"/>
      <c r="O982" s="836"/>
      <c r="P982" s="836"/>
      <c r="Q982" s="836"/>
      <c r="R982" s="836"/>
      <c r="S982" s="833"/>
    </row>
    <row r="983" spans="1:19" ht="21" customHeight="1">
      <c r="A983" s="204"/>
      <c r="B983" s="206" t="s">
        <v>788</v>
      </c>
      <c r="C983" s="207">
        <v>500000</v>
      </c>
      <c r="D983" s="204">
        <v>6</v>
      </c>
      <c r="E983" s="317" t="s">
        <v>681</v>
      </c>
      <c r="F983" s="204" t="s">
        <v>789</v>
      </c>
      <c r="G983" s="204"/>
      <c r="H983" s="204"/>
      <c r="I983" s="204"/>
      <c r="J983" s="318">
        <f>N978</f>
        <v>0.035</v>
      </c>
      <c r="K983" s="204"/>
      <c r="L983" s="208" t="s">
        <v>233</v>
      </c>
      <c r="M983" s="319">
        <f>E980</f>
        <v>0.001</v>
      </c>
      <c r="N983" s="204"/>
      <c r="O983" s="204" t="s">
        <v>784</v>
      </c>
      <c r="P983" s="204"/>
      <c r="Q983" s="179">
        <f aca="true" t="shared" si="37" ref="Q983:Q998">J983+M983</f>
        <v>0.036000000000000004</v>
      </c>
      <c r="R983" s="204"/>
      <c r="S983" s="833"/>
    </row>
    <row r="984" spans="1:19" ht="21" customHeight="1">
      <c r="A984" s="204"/>
      <c r="B984" s="204"/>
      <c r="C984" s="207">
        <v>1000000</v>
      </c>
      <c r="D984" s="204">
        <v>6</v>
      </c>
      <c r="E984" s="317" t="s">
        <v>681</v>
      </c>
      <c r="F984" s="204" t="s">
        <v>789</v>
      </c>
      <c r="G984" s="204"/>
      <c r="H984" s="204"/>
      <c r="I984" s="204"/>
      <c r="J984" s="318">
        <f>N978</f>
        <v>0.035</v>
      </c>
      <c r="K984" s="204"/>
      <c r="L984" s="208" t="s">
        <v>233</v>
      </c>
      <c r="M984" s="319">
        <f>E980</f>
        <v>0.001</v>
      </c>
      <c r="N984" s="204"/>
      <c r="O984" s="204" t="s">
        <v>784</v>
      </c>
      <c r="P984" s="204"/>
      <c r="Q984" s="179">
        <f t="shared" si="37"/>
        <v>0.036000000000000004</v>
      </c>
      <c r="R984" s="204"/>
      <c r="S984" s="833"/>
    </row>
    <row r="985" spans="1:19" ht="21" customHeight="1">
      <c r="A985" s="204"/>
      <c r="B985" s="204"/>
      <c r="C985" s="207">
        <v>2000000</v>
      </c>
      <c r="D985" s="204">
        <v>9</v>
      </c>
      <c r="E985" s="317" t="s">
        <v>681</v>
      </c>
      <c r="F985" s="204" t="s">
        <v>789</v>
      </c>
      <c r="G985" s="204"/>
      <c r="H985" s="204"/>
      <c r="I985" s="204"/>
      <c r="J985" s="318">
        <f>N978</f>
        <v>0.035</v>
      </c>
      <c r="K985" s="204"/>
      <c r="L985" s="208" t="s">
        <v>233</v>
      </c>
      <c r="M985" s="319">
        <f>E980</f>
        <v>0.001</v>
      </c>
      <c r="N985" s="204"/>
      <c r="O985" s="204" t="s">
        <v>784</v>
      </c>
      <c r="P985" s="204"/>
      <c r="Q985" s="179">
        <f t="shared" si="37"/>
        <v>0.036000000000000004</v>
      </c>
      <c r="R985" s="204"/>
      <c r="S985" s="833"/>
    </row>
    <row r="986" spans="1:19" ht="21" customHeight="1">
      <c r="A986" s="204"/>
      <c r="B986" s="204"/>
      <c r="C986" s="207">
        <v>5000000</v>
      </c>
      <c r="D986" s="204">
        <v>12</v>
      </c>
      <c r="E986" s="317" t="s">
        <v>681</v>
      </c>
      <c r="F986" s="204" t="s">
        <v>789</v>
      </c>
      <c r="G986" s="204"/>
      <c r="H986" s="204"/>
      <c r="I986" s="204"/>
      <c r="J986" s="318">
        <f>N978</f>
        <v>0.035</v>
      </c>
      <c r="K986" s="204"/>
      <c r="L986" s="208" t="s">
        <v>233</v>
      </c>
      <c r="M986" s="319">
        <f>E980</f>
        <v>0.001</v>
      </c>
      <c r="N986" s="204"/>
      <c r="O986" s="204" t="s">
        <v>784</v>
      </c>
      <c r="P986" s="204"/>
      <c r="Q986" s="179">
        <f t="shared" si="37"/>
        <v>0.036000000000000004</v>
      </c>
      <c r="R986" s="204"/>
      <c r="S986" s="833"/>
    </row>
    <row r="987" spans="1:19" ht="21" customHeight="1">
      <c r="A987" s="204"/>
      <c r="B987" s="204"/>
      <c r="C987" s="207">
        <v>10000000</v>
      </c>
      <c r="D987" s="204">
        <v>15</v>
      </c>
      <c r="E987" s="317" t="s">
        <v>681</v>
      </c>
      <c r="F987" s="204" t="s">
        <v>789</v>
      </c>
      <c r="G987" s="204"/>
      <c r="H987" s="204"/>
      <c r="I987" s="204"/>
      <c r="J987" s="318">
        <f>N978</f>
        <v>0.035</v>
      </c>
      <c r="K987" s="204"/>
      <c r="L987" s="208" t="s">
        <v>233</v>
      </c>
      <c r="M987" s="319">
        <f>E980</f>
        <v>0.001</v>
      </c>
      <c r="N987" s="204"/>
      <c r="O987" s="204" t="s">
        <v>784</v>
      </c>
      <c r="P987" s="204"/>
      <c r="Q987" s="179">
        <f t="shared" si="37"/>
        <v>0.036000000000000004</v>
      </c>
      <c r="R987" s="204"/>
      <c r="S987" s="833"/>
    </row>
    <row r="988" spans="1:19" ht="21" customHeight="1">
      <c r="A988" s="204"/>
      <c r="B988" s="204"/>
      <c r="C988" s="207">
        <v>15000000</v>
      </c>
      <c r="D988" s="204">
        <v>15</v>
      </c>
      <c r="E988" s="317" t="s">
        <v>681</v>
      </c>
      <c r="F988" s="204" t="s">
        <v>789</v>
      </c>
      <c r="G988" s="204"/>
      <c r="H988" s="204"/>
      <c r="I988" s="204"/>
      <c r="J988" s="318">
        <f>N978</f>
        <v>0.035</v>
      </c>
      <c r="K988" s="204"/>
      <c r="L988" s="208" t="s">
        <v>233</v>
      </c>
      <c r="M988" s="319">
        <f>E980</f>
        <v>0.001</v>
      </c>
      <c r="N988" s="204"/>
      <c r="O988" s="204" t="s">
        <v>784</v>
      </c>
      <c r="P988" s="204"/>
      <c r="Q988" s="179">
        <f t="shared" si="37"/>
        <v>0.036000000000000004</v>
      </c>
      <c r="R988" s="204"/>
      <c r="S988" s="833"/>
    </row>
    <row r="989" spans="1:19" ht="21" customHeight="1">
      <c r="A989" s="204"/>
      <c r="B989" s="204"/>
      <c r="C989" s="207">
        <v>20000000</v>
      </c>
      <c r="D989" s="204">
        <v>16</v>
      </c>
      <c r="E989" s="317" t="s">
        <v>681</v>
      </c>
      <c r="F989" s="204" t="s">
        <v>789</v>
      </c>
      <c r="G989" s="204"/>
      <c r="H989" s="204"/>
      <c r="I989" s="204"/>
      <c r="J989" s="318">
        <f>N978</f>
        <v>0.035</v>
      </c>
      <c r="K989" s="204"/>
      <c r="L989" s="208" t="s">
        <v>233</v>
      </c>
      <c r="M989" s="319">
        <f>E980</f>
        <v>0.001</v>
      </c>
      <c r="N989" s="204"/>
      <c r="O989" s="204" t="s">
        <v>784</v>
      </c>
      <c r="P989" s="204"/>
      <c r="Q989" s="179">
        <f t="shared" si="37"/>
        <v>0.036000000000000004</v>
      </c>
      <c r="R989" s="204"/>
      <c r="S989" s="833"/>
    </row>
    <row r="990" spans="1:19" ht="21" customHeight="1">
      <c r="A990" s="204"/>
      <c r="B990" s="204"/>
      <c r="C990" s="207">
        <v>25000000</v>
      </c>
      <c r="D990" s="204">
        <v>16</v>
      </c>
      <c r="E990" s="317" t="s">
        <v>681</v>
      </c>
      <c r="F990" s="204" t="s">
        <v>789</v>
      </c>
      <c r="G990" s="204"/>
      <c r="H990" s="204"/>
      <c r="I990" s="204"/>
      <c r="J990" s="318">
        <f>N978</f>
        <v>0.035</v>
      </c>
      <c r="K990" s="204"/>
      <c r="L990" s="208" t="s">
        <v>233</v>
      </c>
      <c r="M990" s="319">
        <f>E980</f>
        <v>0.001</v>
      </c>
      <c r="N990" s="204"/>
      <c r="O990" s="204" t="s">
        <v>784</v>
      </c>
      <c r="P990" s="204"/>
      <c r="Q990" s="179">
        <f t="shared" si="37"/>
        <v>0.036000000000000004</v>
      </c>
      <c r="R990" s="204"/>
      <c r="S990" s="833"/>
    </row>
    <row r="991" spans="1:19" ht="21" customHeight="1">
      <c r="A991" s="204"/>
      <c r="B991" s="204"/>
      <c r="C991" s="207">
        <v>30000000</v>
      </c>
      <c r="D991" s="204">
        <v>17</v>
      </c>
      <c r="E991" s="317" t="s">
        <v>681</v>
      </c>
      <c r="F991" s="204" t="s">
        <v>789</v>
      </c>
      <c r="G991" s="204"/>
      <c r="H991" s="204"/>
      <c r="I991" s="204"/>
      <c r="J991" s="318">
        <f>N978</f>
        <v>0.035</v>
      </c>
      <c r="K991" s="204"/>
      <c r="L991" s="208" t="s">
        <v>233</v>
      </c>
      <c r="M991" s="319">
        <f>E980</f>
        <v>0.001</v>
      </c>
      <c r="N991" s="204"/>
      <c r="O991" s="204" t="s">
        <v>784</v>
      </c>
      <c r="P991" s="204"/>
      <c r="Q991" s="179">
        <f t="shared" si="37"/>
        <v>0.036000000000000004</v>
      </c>
      <c r="R991" s="204"/>
      <c r="S991" s="833"/>
    </row>
    <row r="992" spans="1:19" ht="21" customHeight="1">
      <c r="A992" s="204"/>
      <c r="B992" s="204"/>
      <c r="C992" s="207">
        <v>40000000</v>
      </c>
      <c r="D992" s="204">
        <v>17</v>
      </c>
      <c r="E992" s="317" t="s">
        <v>681</v>
      </c>
      <c r="F992" s="204" t="s">
        <v>789</v>
      </c>
      <c r="G992" s="204"/>
      <c r="H992" s="204"/>
      <c r="I992" s="204"/>
      <c r="J992" s="318">
        <f>N978</f>
        <v>0.035</v>
      </c>
      <c r="K992" s="204"/>
      <c r="L992" s="208" t="s">
        <v>233</v>
      </c>
      <c r="M992" s="319">
        <f>E980</f>
        <v>0.001</v>
      </c>
      <c r="N992" s="204"/>
      <c r="O992" s="204" t="s">
        <v>784</v>
      </c>
      <c r="P992" s="204"/>
      <c r="Q992" s="179">
        <f t="shared" si="37"/>
        <v>0.036000000000000004</v>
      </c>
      <c r="R992" s="204"/>
      <c r="S992" s="833"/>
    </row>
    <row r="993" spans="1:19" ht="21" customHeight="1">
      <c r="A993" s="204"/>
      <c r="B993" s="204"/>
      <c r="C993" s="207">
        <v>50000000</v>
      </c>
      <c r="D993" s="204">
        <v>18</v>
      </c>
      <c r="E993" s="317" t="s">
        <v>681</v>
      </c>
      <c r="F993" s="204" t="s">
        <v>789</v>
      </c>
      <c r="G993" s="204"/>
      <c r="H993" s="204"/>
      <c r="I993" s="204"/>
      <c r="J993" s="318">
        <f>N978</f>
        <v>0.035</v>
      </c>
      <c r="K993" s="204"/>
      <c r="L993" s="208" t="s">
        <v>233</v>
      </c>
      <c r="M993" s="319">
        <f>E980</f>
        <v>0.001</v>
      </c>
      <c r="N993" s="204"/>
      <c r="O993" s="204" t="s">
        <v>784</v>
      </c>
      <c r="P993" s="204"/>
      <c r="Q993" s="179">
        <f t="shared" si="37"/>
        <v>0.036000000000000004</v>
      </c>
      <c r="R993" s="204"/>
      <c r="S993" s="833"/>
    </row>
    <row r="994" spans="1:19" ht="21" customHeight="1">
      <c r="A994" s="204"/>
      <c r="B994" s="204"/>
      <c r="C994" s="207">
        <v>60000000</v>
      </c>
      <c r="D994" s="204">
        <v>18</v>
      </c>
      <c r="E994" s="317" t="s">
        <v>681</v>
      </c>
      <c r="F994" s="204" t="s">
        <v>789</v>
      </c>
      <c r="G994" s="204"/>
      <c r="H994" s="204"/>
      <c r="I994" s="204"/>
      <c r="J994" s="318">
        <f>N978</f>
        <v>0.035</v>
      </c>
      <c r="K994" s="204"/>
      <c r="L994" s="208" t="s">
        <v>233</v>
      </c>
      <c r="M994" s="319">
        <f>E980</f>
        <v>0.001</v>
      </c>
      <c r="N994" s="204"/>
      <c r="O994" s="204" t="s">
        <v>784</v>
      </c>
      <c r="P994" s="204"/>
      <c r="Q994" s="179">
        <f t="shared" si="37"/>
        <v>0.036000000000000004</v>
      </c>
      <c r="R994" s="204"/>
      <c r="S994" s="833"/>
    </row>
    <row r="995" spans="1:19" ht="21" customHeight="1">
      <c r="A995" s="204"/>
      <c r="B995" s="204"/>
      <c r="C995" s="207">
        <v>70000000</v>
      </c>
      <c r="D995" s="204">
        <v>20</v>
      </c>
      <c r="E995" s="317" t="s">
        <v>681</v>
      </c>
      <c r="F995" s="204" t="s">
        <v>789</v>
      </c>
      <c r="G995" s="204"/>
      <c r="H995" s="204"/>
      <c r="I995" s="204"/>
      <c r="J995" s="318">
        <f>N978</f>
        <v>0.035</v>
      </c>
      <c r="K995" s="204"/>
      <c r="L995" s="208" t="s">
        <v>233</v>
      </c>
      <c r="M995" s="319">
        <f>E980</f>
        <v>0.001</v>
      </c>
      <c r="N995" s="204"/>
      <c r="O995" s="204" t="s">
        <v>784</v>
      </c>
      <c r="P995" s="204"/>
      <c r="Q995" s="179">
        <f t="shared" si="37"/>
        <v>0.036000000000000004</v>
      </c>
      <c r="R995" s="204"/>
      <c r="S995" s="833"/>
    </row>
    <row r="996" spans="1:19" ht="21" customHeight="1">
      <c r="A996" s="204"/>
      <c r="B996" s="204"/>
      <c r="C996" s="207">
        <v>80000000</v>
      </c>
      <c r="D996" s="204">
        <v>20</v>
      </c>
      <c r="E996" s="317" t="s">
        <v>681</v>
      </c>
      <c r="F996" s="204" t="s">
        <v>789</v>
      </c>
      <c r="G996" s="204"/>
      <c r="H996" s="204"/>
      <c r="I996" s="204"/>
      <c r="J996" s="318">
        <f>N978</f>
        <v>0.035</v>
      </c>
      <c r="K996" s="204"/>
      <c r="L996" s="208" t="s">
        <v>233</v>
      </c>
      <c r="M996" s="319">
        <f>E980</f>
        <v>0.001</v>
      </c>
      <c r="N996" s="204"/>
      <c r="O996" s="204" t="s">
        <v>784</v>
      </c>
      <c r="P996" s="204"/>
      <c r="Q996" s="179">
        <f t="shared" si="37"/>
        <v>0.036000000000000004</v>
      </c>
      <c r="R996" s="204"/>
      <c r="S996" s="833"/>
    </row>
    <row r="997" spans="1:19" ht="21" customHeight="1">
      <c r="A997" s="204"/>
      <c r="B997" s="204"/>
      <c r="C997" s="207">
        <v>90000000</v>
      </c>
      <c r="D997" s="204">
        <v>20</v>
      </c>
      <c r="E997" s="317" t="s">
        <v>681</v>
      </c>
      <c r="F997" s="204" t="s">
        <v>789</v>
      </c>
      <c r="G997" s="204"/>
      <c r="H997" s="204"/>
      <c r="I997" s="204"/>
      <c r="J997" s="318">
        <f>N978</f>
        <v>0.035</v>
      </c>
      <c r="K997" s="204"/>
      <c r="L997" s="208" t="s">
        <v>233</v>
      </c>
      <c r="M997" s="319">
        <f>E980</f>
        <v>0.001</v>
      </c>
      <c r="N997" s="204"/>
      <c r="O997" s="204" t="s">
        <v>784</v>
      </c>
      <c r="P997" s="204"/>
      <c r="Q997" s="179">
        <f t="shared" si="37"/>
        <v>0.036000000000000004</v>
      </c>
      <c r="R997" s="204"/>
      <c r="S997" s="833"/>
    </row>
    <row r="998" spans="1:19" ht="21" customHeight="1">
      <c r="A998" s="204"/>
      <c r="B998" s="204" t="s">
        <v>562</v>
      </c>
      <c r="C998" s="207">
        <v>100000000</v>
      </c>
      <c r="D998" s="204">
        <v>20</v>
      </c>
      <c r="E998" s="317" t="s">
        <v>681</v>
      </c>
      <c r="F998" s="204" t="s">
        <v>789</v>
      </c>
      <c r="G998" s="204"/>
      <c r="H998" s="204"/>
      <c r="I998" s="204"/>
      <c r="J998" s="318">
        <f>N978</f>
        <v>0.035</v>
      </c>
      <c r="K998" s="204"/>
      <c r="L998" s="208" t="s">
        <v>233</v>
      </c>
      <c r="M998" s="319">
        <f>E980</f>
        <v>0.001</v>
      </c>
      <c r="N998" s="204"/>
      <c r="O998" s="204" t="s">
        <v>784</v>
      </c>
      <c r="P998" s="204"/>
      <c r="Q998" s="179">
        <f t="shared" si="37"/>
        <v>0.036000000000000004</v>
      </c>
      <c r="R998" s="204"/>
      <c r="S998" s="833"/>
    </row>
    <row r="999" spans="1:19" ht="21" customHeight="1">
      <c r="A999" s="835" t="s">
        <v>368</v>
      </c>
      <c r="B999" s="835"/>
      <c r="C999" s="835"/>
      <c r="D999" s="835"/>
      <c r="E999" s="835"/>
      <c r="F999" s="835"/>
      <c r="G999" s="835"/>
      <c r="H999" s="835"/>
      <c r="I999" s="835"/>
      <c r="J999" s="835"/>
      <c r="K999" s="835"/>
      <c r="L999" s="835"/>
      <c r="M999" s="835"/>
      <c r="N999" s="835"/>
      <c r="O999" s="835"/>
      <c r="P999" s="835"/>
      <c r="Q999" s="835"/>
      <c r="R999" s="835"/>
      <c r="S999" s="833"/>
    </row>
    <row r="1000" spans="1:19" ht="21" customHeight="1">
      <c r="A1000" s="204"/>
      <c r="B1000" s="204"/>
      <c r="C1000" s="204"/>
      <c r="D1000" s="204"/>
      <c r="E1000" s="204"/>
      <c r="F1000" s="204"/>
      <c r="G1000" s="204"/>
      <c r="H1000" s="204"/>
      <c r="I1000" s="204"/>
      <c r="J1000" s="204"/>
      <c r="K1000" s="204"/>
      <c r="L1000" s="204"/>
      <c r="M1000" s="204"/>
      <c r="N1000" s="205"/>
      <c r="O1000" s="205"/>
      <c r="P1000" s="205"/>
      <c r="Q1000" s="205"/>
      <c r="R1000" s="205"/>
      <c r="S1000" s="832" t="s">
        <v>369</v>
      </c>
    </row>
    <row r="1001" spans="1:19" ht="21" customHeight="1">
      <c r="A1001" s="204"/>
      <c r="B1001" s="204" t="s">
        <v>562</v>
      </c>
      <c r="C1001" s="208" t="s">
        <v>463</v>
      </c>
      <c r="D1001" s="208" t="s">
        <v>478</v>
      </c>
      <c r="E1001" s="208"/>
      <c r="F1001" s="204"/>
      <c r="G1001" s="843" t="s">
        <v>778</v>
      </c>
      <c r="H1001" s="843"/>
      <c r="I1001" s="843"/>
      <c r="J1001" s="843"/>
      <c r="K1001" s="843"/>
      <c r="L1001" s="843"/>
      <c r="M1001" s="843"/>
      <c r="N1001" s="843"/>
      <c r="O1001" s="843"/>
      <c r="P1001" s="843"/>
      <c r="Q1001" s="843"/>
      <c r="R1001" s="843"/>
      <c r="S1001" s="833"/>
    </row>
    <row r="1002" spans="1:19" ht="21" customHeight="1">
      <c r="A1002" s="204"/>
      <c r="B1002" s="206" t="s">
        <v>788</v>
      </c>
      <c r="C1002" s="207">
        <v>150000000</v>
      </c>
      <c r="D1002" s="204">
        <v>22</v>
      </c>
      <c r="E1002" s="317" t="s">
        <v>681</v>
      </c>
      <c r="F1002" s="204" t="s">
        <v>789</v>
      </c>
      <c r="G1002" s="204"/>
      <c r="H1002" s="204"/>
      <c r="I1002" s="204"/>
      <c r="J1002" s="318">
        <f>N978</f>
        <v>0.035</v>
      </c>
      <c r="K1002" s="204"/>
      <c r="L1002" s="208" t="s">
        <v>233</v>
      </c>
      <c r="M1002" s="319">
        <f>E980</f>
        <v>0.001</v>
      </c>
      <c r="N1002" s="204"/>
      <c r="O1002" s="204" t="s">
        <v>784</v>
      </c>
      <c r="P1002" s="204"/>
      <c r="Q1002" s="179">
        <f aca="true" t="shared" si="38" ref="Q1002:Q1009">J1002+M1002</f>
        <v>0.036000000000000004</v>
      </c>
      <c r="R1002" s="204"/>
      <c r="S1002" s="833"/>
    </row>
    <row r="1003" spans="1:19" ht="21" customHeight="1">
      <c r="A1003" s="204"/>
      <c r="B1003" s="204"/>
      <c r="C1003" s="207">
        <v>200000000</v>
      </c>
      <c r="D1003" s="204">
        <v>24</v>
      </c>
      <c r="E1003" s="317" t="s">
        <v>681</v>
      </c>
      <c r="F1003" s="204" t="s">
        <v>789</v>
      </c>
      <c r="G1003" s="204"/>
      <c r="H1003" s="204"/>
      <c r="I1003" s="204"/>
      <c r="J1003" s="318">
        <f>N978</f>
        <v>0.035</v>
      </c>
      <c r="K1003" s="204"/>
      <c r="L1003" s="208" t="s">
        <v>233</v>
      </c>
      <c r="M1003" s="319">
        <f>E980</f>
        <v>0.001</v>
      </c>
      <c r="N1003" s="204"/>
      <c r="O1003" s="204" t="s">
        <v>784</v>
      </c>
      <c r="P1003" s="204"/>
      <c r="Q1003" s="179">
        <f t="shared" si="38"/>
        <v>0.036000000000000004</v>
      </c>
      <c r="R1003" s="204"/>
      <c r="S1003" s="833"/>
    </row>
    <row r="1004" spans="1:19" ht="21" customHeight="1">
      <c r="A1004" s="204"/>
      <c r="B1004" s="204"/>
      <c r="C1004" s="207">
        <v>250000000</v>
      </c>
      <c r="D1004" s="204">
        <v>28</v>
      </c>
      <c r="E1004" s="317" t="s">
        <v>681</v>
      </c>
      <c r="F1004" s="204" t="s">
        <v>789</v>
      </c>
      <c r="G1004" s="204"/>
      <c r="H1004" s="204"/>
      <c r="I1004" s="204"/>
      <c r="J1004" s="318">
        <f>N978</f>
        <v>0.035</v>
      </c>
      <c r="K1004" s="204"/>
      <c r="L1004" s="208" t="s">
        <v>233</v>
      </c>
      <c r="M1004" s="319">
        <f>E980</f>
        <v>0.001</v>
      </c>
      <c r="N1004" s="204"/>
      <c r="O1004" s="204" t="s">
        <v>784</v>
      </c>
      <c r="P1004" s="204"/>
      <c r="Q1004" s="179">
        <f t="shared" si="38"/>
        <v>0.036000000000000004</v>
      </c>
      <c r="R1004" s="204"/>
      <c r="S1004" s="833"/>
    </row>
    <row r="1005" spans="1:19" ht="21" customHeight="1">
      <c r="A1005" s="204"/>
      <c r="B1005" s="204"/>
      <c r="C1005" s="207">
        <v>300000000</v>
      </c>
      <c r="D1005" s="204">
        <v>30</v>
      </c>
      <c r="E1005" s="317" t="s">
        <v>681</v>
      </c>
      <c r="F1005" s="204" t="s">
        <v>789</v>
      </c>
      <c r="G1005" s="204"/>
      <c r="H1005" s="204"/>
      <c r="I1005" s="204"/>
      <c r="J1005" s="318">
        <f>N978</f>
        <v>0.035</v>
      </c>
      <c r="K1005" s="204"/>
      <c r="L1005" s="208" t="s">
        <v>233</v>
      </c>
      <c r="M1005" s="319">
        <f>E980</f>
        <v>0.001</v>
      </c>
      <c r="N1005" s="204"/>
      <c r="O1005" s="204" t="s">
        <v>784</v>
      </c>
      <c r="P1005" s="204"/>
      <c r="Q1005" s="179">
        <f t="shared" si="38"/>
        <v>0.036000000000000004</v>
      </c>
      <c r="R1005" s="204"/>
      <c r="S1005" s="833"/>
    </row>
    <row r="1006" spans="1:19" ht="21" customHeight="1">
      <c r="A1006" s="204"/>
      <c r="B1006" s="204" t="s">
        <v>562</v>
      </c>
      <c r="C1006" s="207">
        <v>350000000</v>
      </c>
      <c r="D1006" s="204">
        <v>32</v>
      </c>
      <c r="E1006" s="317" t="s">
        <v>681</v>
      </c>
      <c r="F1006" s="204" t="s">
        <v>789</v>
      </c>
      <c r="G1006" s="204"/>
      <c r="H1006" s="204"/>
      <c r="I1006" s="204"/>
      <c r="J1006" s="318">
        <f>N978</f>
        <v>0.035</v>
      </c>
      <c r="K1006" s="204"/>
      <c r="L1006" s="208" t="s">
        <v>233</v>
      </c>
      <c r="M1006" s="319">
        <f>E980</f>
        <v>0.001</v>
      </c>
      <c r="N1006" s="204"/>
      <c r="O1006" s="204" t="s">
        <v>784</v>
      </c>
      <c r="P1006" s="204"/>
      <c r="Q1006" s="179">
        <f t="shared" si="38"/>
        <v>0.036000000000000004</v>
      </c>
      <c r="R1006" s="204"/>
      <c r="S1006" s="833"/>
    </row>
    <row r="1007" spans="1:19" ht="21" customHeight="1">
      <c r="A1007" s="204"/>
      <c r="B1007" s="204"/>
      <c r="C1007" s="207">
        <v>400000000</v>
      </c>
      <c r="D1007" s="204">
        <v>36</v>
      </c>
      <c r="E1007" s="317" t="s">
        <v>681</v>
      </c>
      <c r="F1007" s="204" t="s">
        <v>789</v>
      </c>
      <c r="G1007" s="204"/>
      <c r="H1007" s="204"/>
      <c r="I1007" s="204"/>
      <c r="J1007" s="318">
        <f>N978</f>
        <v>0.035</v>
      </c>
      <c r="K1007" s="204"/>
      <c r="L1007" s="208" t="s">
        <v>233</v>
      </c>
      <c r="M1007" s="319">
        <f>E980</f>
        <v>0.001</v>
      </c>
      <c r="N1007" s="204"/>
      <c r="O1007" s="204" t="s">
        <v>784</v>
      </c>
      <c r="P1007" s="204"/>
      <c r="Q1007" s="179">
        <f t="shared" si="38"/>
        <v>0.036000000000000004</v>
      </c>
      <c r="R1007" s="204"/>
      <c r="S1007" s="833"/>
    </row>
    <row r="1008" spans="1:19" ht="21" customHeight="1">
      <c r="A1008" s="204"/>
      <c r="B1008" s="204"/>
      <c r="C1008" s="207">
        <v>500000000</v>
      </c>
      <c r="D1008" s="204">
        <v>36</v>
      </c>
      <c r="E1008" s="317" t="s">
        <v>681</v>
      </c>
      <c r="F1008" s="204" t="s">
        <v>789</v>
      </c>
      <c r="G1008" s="204"/>
      <c r="H1008" s="204"/>
      <c r="I1008" s="204"/>
      <c r="J1008" s="318">
        <f>N978</f>
        <v>0.035</v>
      </c>
      <c r="K1008" s="204"/>
      <c r="L1008" s="208" t="s">
        <v>233</v>
      </c>
      <c r="M1008" s="319">
        <f>E980</f>
        <v>0.001</v>
      </c>
      <c r="N1008" s="204"/>
      <c r="O1008" s="204" t="s">
        <v>784</v>
      </c>
      <c r="P1008" s="204"/>
      <c r="Q1008" s="179">
        <f t="shared" si="38"/>
        <v>0.036000000000000004</v>
      </c>
      <c r="R1008" s="204"/>
      <c r="S1008" s="833"/>
    </row>
    <row r="1009" spans="1:19" ht="21" customHeight="1">
      <c r="A1009" s="204"/>
      <c r="B1009" s="204"/>
      <c r="C1009" s="207">
        <v>1000000000</v>
      </c>
      <c r="D1009" s="204">
        <v>40</v>
      </c>
      <c r="E1009" s="317" t="s">
        <v>681</v>
      </c>
      <c r="F1009" s="204" t="s">
        <v>789</v>
      </c>
      <c r="G1009" s="204"/>
      <c r="H1009" s="204"/>
      <c r="I1009" s="204"/>
      <c r="J1009" s="318">
        <f>N978</f>
        <v>0.035</v>
      </c>
      <c r="K1009" s="204"/>
      <c r="L1009" s="208" t="s">
        <v>233</v>
      </c>
      <c r="M1009" s="319">
        <f>E980</f>
        <v>0.001</v>
      </c>
      <c r="N1009" s="204"/>
      <c r="O1009" s="204" t="s">
        <v>784</v>
      </c>
      <c r="P1009" s="204"/>
      <c r="Q1009" s="179">
        <f t="shared" si="38"/>
        <v>0.036000000000000004</v>
      </c>
      <c r="R1009" s="204"/>
      <c r="S1009" s="833"/>
    </row>
    <row r="1010" spans="1:19" ht="21" customHeight="1">
      <c r="A1010" s="157"/>
      <c r="B1010" s="162" t="s">
        <v>370</v>
      </c>
      <c r="C1010" s="162" t="s">
        <v>371</v>
      </c>
      <c r="D1010" s="162"/>
      <c r="E1010" s="162"/>
      <c r="F1010" s="157"/>
      <c r="G1010" s="157"/>
      <c r="H1010" s="157"/>
      <c r="I1010" s="157"/>
      <c r="J1010" s="157"/>
      <c r="K1010" s="157"/>
      <c r="L1010" s="157"/>
      <c r="M1010" s="157"/>
      <c r="N1010" s="157"/>
      <c r="O1010" s="157"/>
      <c r="P1010" s="157"/>
      <c r="Q1010" s="157"/>
      <c r="R1010" s="157"/>
      <c r="S1010" s="833"/>
    </row>
    <row r="1011" spans="1:19" ht="21" customHeight="1">
      <c r="A1011" s="157"/>
      <c r="B1011" s="212" t="s">
        <v>372</v>
      </c>
      <c r="C1011" s="212" t="s">
        <v>373</v>
      </c>
      <c r="D1011" s="212"/>
      <c r="E1011" s="157"/>
      <c r="F1011" s="157"/>
      <c r="G1011" s="157"/>
      <c r="H1011" s="157"/>
      <c r="I1011" s="157"/>
      <c r="J1011" s="157"/>
      <c r="K1011" s="157"/>
      <c r="L1011" s="157"/>
      <c r="M1011" s="157"/>
      <c r="N1011" s="157"/>
      <c r="O1011" s="157"/>
      <c r="P1011" s="157"/>
      <c r="Q1011" s="157"/>
      <c r="R1011" s="157"/>
      <c r="S1011" s="833"/>
    </row>
    <row r="1012" spans="1:19" ht="21" customHeight="1">
      <c r="A1012" s="157"/>
      <c r="B1012" s="157"/>
      <c r="C1012" s="157" t="s">
        <v>374</v>
      </c>
      <c r="D1012" s="176">
        <v>2500</v>
      </c>
      <c r="E1012" s="157" t="s">
        <v>375</v>
      </c>
      <c r="F1012" s="157"/>
      <c r="G1012" s="157"/>
      <c r="H1012" s="157"/>
      <c r="I1012" s="157"/>
      <c r="J1012" s="157"/>
      <c r="K1012" s="157"/>
      <c r="L1012" s="157"/>
      <c r="M1012" s="157"/>
      <c r="N1012" s="157"/>
      <c r="O1012" s="157"/>
      <c r="P1012" s="157"/>
      <c r="Q1012" s="157"/>
      <c r="R1012" s="157"/>
      <c r="S1012" s="833"/>
    </row>
    <row r="1013" spans="1:19" ht="21" customHeight="1">
      <c r="A1013" s="157"/>
      <c r="B1013" s="157" t="s">
        <v>562</v>
      </c>
      <c r="C1013" s="165" t="s">
        <v>463</v>
      </c>
      <c r="D1013" s="165" t="s">
        <v>478</v>
      </c>
      <c r="E1013" s="165"/>
      <c r="F1013" s="157"/>
      <c r="G1013" s="836" t="s">
        <v>778</v>
      </c>
      <c r="H1013" s="836"/>
      <c r="I1013" s="836"/>
      <c r="J1013" s="836"/>
      <c r="K1013" s="836"/>
      <c r="L1013" s="836"/>
      <c r="M1013" s="836"/>
      <c r="N1013" s="836"/>
      <c r="O1013" s="836"/>
      <c r="P1013" s="836"/>
      <c r="Q1013" s="836"/>
      <c r="R1013" s="836"/>
      <c r="S1013" s="833"/>
    </row>
    <row r="1014" spans="1:19" ht="21" customHeight="1">
      <c r="A1014" s="157"/>
      <c r="B1014" s="175" t="s">
        <v>788</v>
      </c>
      <c r="C1014" s="176">
        <v>500000</v>
      </c>
      <c r="D1014" s="176">
        <v>6</v>
      </c>
      <c r="E1014" s="198" t="s">
        <v>821</v>
      </c>
      <c r="F1014" s="157" t="s">
        <v>789</v>
      </c>
      <c r="G1014" s="172">
        <f>D1012</f>
        <v>2500</v>
      </c>
      <c r="H1014" s="157"/>
      <c r="I1014" s="165" t="s">
        <v>787</v>
      </c>
      <c r="J1014" s="157">
        <v>100</v>
      </c>
      <c r="K1014" s="157"/>
      <c r="L1014" s="157" t="s">
        <v>783</v>
      </c>
      <c r="M1014" s="172">
        <f>C1014</f>
        <v>500000</v>
      </c>
      <c r="N1014" s="157"/>
      <c r="O1014" s="157" t="s">
        <v>784</v>
      </c>
      <c r="P1014" s="157"/>
      <c r="Q1014" s="199">
        <f>ROUND(G1014*100/M1014,4)</f>
        <v>0.5</v>
      </c>
      <c r="R1014" s="165" t="s">
        <v>562</v>
      </c>
      <c r="S1014" s="833"/>
    </row>
    <row r="1015" spans="1:19" ht="21" customHeight="1">
      <c r="A1015" s="157"/>
      <c r="B1015" s="157"/>
      <c r="C1015" s="176">
        <v>1000000</v>
      </c>
      <c r="D1015" s="176">
        <v>6</v>
      </c>
      <c r="E1015" s="198" t="s">
        <v>821</v>
      </c>
      <c r="F1015" s="157" t="s">
        <v>789</v>
      </c>
      <c r="G1015" s="172">
        <f>D1012</f>
        <v>2500</v>
      </c>
      <c r="H1015" s="157"/>
      <c r="I1015" s="165" t="s">
        <v>787</v>
      </c>
      <c r="J1015" s="157">
        <v>100</v>
      </c>
      <c r="K1015" s="157"/>
      <c r="L1015" s="157" t="s">
        <v>783</v>
      </c>
      <c r="M1015" s="172">
        <f>C1015</f>
        <v>1000000</v>
      </c>
      <c r="N1015" s="157"/>
      <c r="O1015" s="157" t="s">
        <v>784</v>
      </c>
      <c r="P1015" s="157"/>
      <c r="Q1015" s="199">
        <f>ROUND(G1015*100/M1015,4)</f>
        <v>0.25</v>
      </c>
      <c r="R1015" s="165" t="s">
        <v>562</v>
      </c>
      <c r="S1015" s="833"/>
    </row>
    <row r="1016" spans="1:19" ht="21" customHeight="1">
      <c r="A1016" s="157"/>
      <c r="B1016" s="157"/>
      <c r="C1016" s="176">
        <v>2000000</v>
      </c>
      <c r="D1016" s="176">
        <v>9</v>
      </c>
      <c r="E1016" s="198" t="s">
        <v>821</v>
      </c>
      <c r="F1016" s="157" t="s">
        <v>789</v>
      </c>
      <c r="G1016" s="172">
        <f>D1012</f>
        <v>2500</v>
      </c>
      <c r="H1016" s="157"/>
      <c r="I1016" s="165" t="s">
        <v>787</v>
      </c>
      <c r="J1016" s="157">
        <v>100</v>
      </c>
      <c r="K1016" s="157"/>
      <c r="L1016" s="157" t="s">
        <v>783</v>
      </c>
      <c r="M1016" s="172">
        <f>C1016</f>
        <v>2000000</v>
      </c>
      <c r="N1016" s="157"/>
      <c r="O1016" s="157" t="s">
        <v>784</v>
      </c>
      <c r="P1016" s="157"/>
      <c r="Q1016" s="199">
        <f>ROUND(G1016*100/M1016,4)</f>
        <v>0.125</v>
      </c>
      <c r="R1016" s="165"/>
      <c r="S1016" s="833"/>
    </row>
    <row r="1017" spans="1:19" ht="21" customHeight="1">
      <c r="A1017" s="157"/>
      <c r="B1017" s="157"/>
      <c r="C1017" s="176">
        <v>5000000</v>
      </c>
      <c r="D1017" s="176">
        <v>12</v>
      </c>
      <c r="E1017" s="198" t="s">
        <v>821</v>
      </c>
      <c r="F1017" s="157" t="s">
        <v>789</v>
      </c>
      <c r="G1017" s="172">
        <f>D1012</f>
        <v>2500</v>
      </c>
      <c r="H1017" s="157"/>
      <c r="I1017" s="165" t="s">
        <v>787</v>
      </c>
      <c r="J1017" s="157">
        <v>100</v>
      </c>
      <c r="K1017" s="157"/>
      <c r="L1017" s="157" t="s">
        <v>783</v>
      </c>
      <c r="M1017" s="172">
        <f>C1017</f>
        <v>5000000</v>
      </c>
      <c r="N1017" s="157"/>
      <c r="O1017" s="157" t="s">
        <v>784</v>
      </c>
      <c r="P1017" s="157"/>
      <c r="Q1017" s="199">
        <f>ROUND(G1017*100/M1017,4)</f>
        <v>0.05</v>
      </c>
      <c r="R1017" s="165" t="s">
        <v>562</v>
      </c>
      <c r="S1017" s="833"/>
    </row>
    <row r="1018" spans="1:19" ht="21" customHeight="1">
      <c r="A1018" s="157"/>
      <c r="B1018" s="157"/>
      <c r="C1018" s="157"/>
      <c r="D1018" s="157"/>
      <c r="E1018" s="157"/>
      <c r="F1018" s="157"/>
      <c r="G1018" s="157"/>
      <c r="H1018" s="157"/>
      <c r="I1018" s="157"/>
      <c r="J1018" s="157"/>
      <c r="K1018" s="157"/>
      <c r="L1018" s="157"/>
      <c r="M1018" s="200" t="s">
        <v>823</v>
      </c>
      <c r="N1018" s="157"/>
      <c r="O1018" s="157" t="s">
        <v>784</v>
      </c>
      <c r="P1018" s="157"/>
      <c r="Q1018" s="201">
        <f>ROUND((Q1014+Q1015+Q1016+Q1017)/4,4)</f>
        <v>0.2313</v>
      </c>
      <c r="R1018" s="157"/>
      <c r="S1018" s="833"/>
    </row>
    <row r="1019" spans="1:19" ht="21" customHeight="1">
      <c r="A1019" s="157"/>
      <c r="B1019" s="212" t="s">
        <v>376</v>
      </c>
      <c r="C1019" s="212" t="s">
        <v>377</v>
      </c>
      <c r="D1019" s="212"/>
      <c r="E1019" s="157"/>
      <c r="F1019" s="157"/>
      <c r="G1019" s="157"/>
      <c r="H1019" s="157"/>
      <c r="I1019" s="157"/>
      <c r="J1019" s="157"/>
      <c r="K1019" s="157"/>
      <c r="L1019" s="157"/>
      <c r="M1019" s="157"/>
      <c r="N1019" s="157"/>
      <c r="O1019" s="157"/>
      <c r="P1019" s="157"/>
      <c r="Q1019" s="157"/>
      <c r="R1019" s="157"/>
      <c r="S1019" s="833"/>
    </row>
    <row r="1020" spans="1:19" ht="21" customHeight="1">
      <c r="A1020" s="157"/>
      <c r="B1020" s="157"/>
      <c r="C1020" s="157" t="s">
        <v>378</v>
      </c>
      <c r="D1020" s="166">
        <v>6000</v>
      </c>
      <c r="E1020" s="157" t="s">
        <v>375</v>
      </c>
      <c r="F1020" s="157"/>
      <c r="G1020" s="157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833"/>
    </row>
    <row r="1021" spans="1:19" ht="21" customHeight="1">
      <c r="A1021" s="157"/>
      <c r="B1021" s="157" t="s">
        <v>562</v>
      </c>
      <c r="C1021" s="165" t="s">
        <v>463</v>
      </c>
      <c r="D1021" s="165" t="s">
        <v>478</v>
      </c>
      <c r="E1021" s="165"/>
      <c r="F1021" s="157"/>
      <c r="G1021" s="836" t="s">
        <v>778</v>
      </c>
      <c r="H1021" s="836"/>
      <c r="I1021" s="836"/>
      <c r="J1021" s="836"/>
      <c r="K1021" s="836"/>
      <c r="L1021" s="836"/>
      <c r="M1021" s="836"/>
      <c r="N1021" s="836"/>
      <c r="O1021" s="836"/>
      <c r="P1021" s="836"/>
      <c r="Q1021" s="836"/>
      <c r="R1021" s="836"/>
      <c r="S1021" s="833"/>
    </row>
    <row r="1022" spans="1:19" ht="21" customHeight="1">
      <c r="A1022" s="157"/>
      <c r="B1022" s="175" t="s">
        <v>788</v>
      </c>
      <c r="C1022" s="176">
        <v>5000001</v>
      </c>
      <c r="D1022" s="166">
        <v>12</v>
      </c>
      <c r="E1022" s="198" t="s">
        <v>821</v>
      </c>
      <c r="F1022" s="157" t="s">
        <v>789</v>
      </c>
      <c r="G1022" s="172">
        <f>D1020</f>
        <v>6000</v>
      </c>
      <c r="H1022" s="157"/>
      <c r="I1022" s="165" t="s">
        <v>787</v>
      </c>
      <c r="J1022" s="157">
        <v>100</v>
      </c>
      <c r="K1022" s="157"/>
      <c r="L1022" s="157" t="s">
        <v>783</v>
      </c>
      <c r="M1022" s="172">
        <f>C1022</f>
        <v>5000001</v>
      </c>
      <c r="N1022" s="157"/>
      <c r="O1022" s="157" t="s">
        <v>784</v>
      </c>
      <c r="P1022" s="157"/>
      <c r="Q1022" s="199">
        <f>ROUND(G1022*100/M1022,4)</f>
        <v>0.12</v>
      </c>
      <c r="R1022" s="165" t="s">
        <v>562</v>
      </c>
      <c r="S1022" s="833"/>
    </row>
    <row r="1023" spans="1:19" ht="21" customHeight="1">
      <c r="A1023" s="157"/>
      <c r="B1023" s="157"/>
      <c r="C1023" s="176">
        <v>10000000</v>
      </c>
      <c r="D1023" s="166">
        <v>15</v>
      </c>
      <c r="E1023" s="198" t="s">
        <v>821</v>
      </c>
      <c r="F1023" s="157" t="s">
        <v>789</v>
      </c>
      <c r="G1023" s="172">
        <f>D1020</f>
        <v>6000</v>
      </c>
      <c r="H1023" s="157"/>
      <c r="I1023" s="165" t="s">
        <v>787</v>
      </c>
      <c r="J1023" s="157">
        <v>100</v>
      </c>
      <c r="K1023" s="157"/>
      <c r="L1023" s="157" t="s">
        <v>783</v>
      </c>
      <c r="M1023" s="172">
        <f>C1023</f>
        <v>10000000</v>
      </c>
      <c r="N1023" s="157"/>
      <c r="O1023" s="157" t="s">
        <v>784</v>
      </c>
      <c r="P1023" s="157"/>
      <c r="Q1023" s="199">
        <f>ROUND(G1023*100/M1023,4)</f>
        <v>0.06</v>
      </c>
      <c r="R1023" s="165" t="s">
        <v>562</v>
      </c>
      <c r="S1023" s="833"/>
    </row>
    <row r="1024" spans="1:19" ht="21" customHeight="1">
      <c r="A1024" s="157"/>
      <c r="B1024" s="157"/>
      <c r="C1024" s="157"/>
      <c r="D1024" s="157"/>
      <c r="E1024" s="157"/>
      <c r="F1024" s="157"/>
      <c r="G1024" s="157"/>
      <c r="H1024" s="157"/>
      <c r="I1024" s="157"/>
      <c r="J1024" s="157"/>
      <c r="K1024" s="157"/>
      <c r="L1024" s="157"/>
      <c r="M1024" s="200" t="s">
        <v>823</v>
      </c>
      <c r="N1024" s="157"/>
      <c r="O1024" s="157" t="s">
        <v>784</v>
      </c>
      <c r="P1024" s="157"/>
      <c r="Q1024" s="201">
        <f>ROUND((Q1022+Q1023)/2,4)</f>
        <v>0.09</v>
      </c>
      <c r="R1024" s="157"/>
      <c r="S1024" s="833"/>
    </row>
    <row r="1025" spans="1:19" ht="21" customHeight="1">
      <c r="A1025" s="157"/>
      <c r="B1025" s="175" t="s">
        <v>562</v>
      </c>
      <c r="C1025" s="157" t="s">
        <v>562</v>
      </c>
      <c r="D1025" s="157" t="s">
        <v>562</v>
      </c>
      <c r="E1025" s="157"/>
      <c r="F1025" s="157"/>
      <c r="G1025" s="157"/>
      <c r="H1025" s="157"/>
      <c r="I1025" s="157"/>
      <c r="J1025" s="157"/>
      <c r="K1025" s="157"/>
      <c r="L1025" s="157"/>
      <c r="M1025" s="157"/>
      <c r="N1025" s="157"/>
      <c r="O1025" s="157"/>
      <c r="P1025" s="157"/>
      <c r="Q1025" s="157"/>
      <c r="R1025" s="157"/>
      <c r="S1025" s="833"/>
    </row>
    <row r="1026" spans="1:19" ht="21" customHeight="1">
      <c r="A1026" s="835" t="s">
        <v>379</v>
      </c>
      <c r="B1026" s="835"/>
      <c r="C1026" s="835"/>
      <c r="D1026" s="835"/>
      <c r="E1026" s="835"/>
      <c r="F1026" s="835"/>
      <c r="G1026" s="835"/>
      <c r="H1026" s="835"/>
      <c r="I1026" s="835"/>
      <c r="J1026" s="835"/>
      <c r="K1026" s="835"/>
      <c r="L1026" s="835"/>
      <c r="M1026" s="835"/>
      <c r="N1026" s="835"/>
      <c r="O1026" s="835"/>
      <c r="P1026" s="835"/>
      <c r="Q1026" s="835"/>
      <c r="R1026" s="835"/>
      <c r="S1026" s="833"/>
    </row>
    <row r="1027" spans="1:19" ht="21" customHeight="1">
      <c r="A1027" s="157"/>
      <c r="B1027" s="212" t="s">
        <v>380</v>
      </c>
      <c r="C1027" s="212" t="s">
        <v>381</v>
      </c>
      <c r="D1027" s="212"/>
      <c r="E1027" s="157"/>
      <c r="F1027" s="157"/>
      <c r="G1027" s="157"/>
      <c r="H1027" s="157"/>
      <c r="I1027" s="157"/>
      <c r="J1027" s="157"/>
      <c r="K1027" s="157"/>
      <c r="L1027" s="157"/>
      <c r="M1027" s="157"/>
      <c r="N1027" s="157"/>
      <c r="O1027" s="157"/>
      <c r="P1027" s="157"/>
      <c r="Q1027" s="157"/>
      <c r="R1027" s="157"/>
      <c r="S1027" s="832" t="s">
        <v>382</v>
      </c>
    </row>
    <row r="1028" spans="1:19" ht="21" customHeight="1">
      <c r="A1028" s="157"/>
      <c r="B1028" s="157"/>
      <c r="C1028" s="157" t="s">
        <v>378</v>
      </c>
      <c r="D1028" s="166">
        <v>10000</v>
      </c>
      <c r="E1028" s="157" t="s">
        <v>375</v>
      </c>
      <c r="F1028" s="157"/>
      <c r="G1028" s="157"/>
      <c r="H1028" s="157"/>
      <c r="I1028" s="157"/>
      <c r="J1028" s="157"/>
      <c r="K1028" s="157"/>
      <c r="L1028" s="157"/>
      <c r="M1028" s="157"/>
      <c r="N1028" s="157"/>
      <c r="O1028" s="157"/>
      <c r="P1028" s="157"/>
      <c r="Q1028" s="157"/>
      <c r="R1028" s="157"/>
      <c r="S1028" s="833"/>
    </row>
    <row r="1029" spans="1:19" ht="21" customHeight="1">
      <c r="A1029" s="157"/>
      <c r="B1029" s="157" t="s">
        <v>562</v>
      </c>
      <c r="C1029" s="165" t="s">
        <v>463</v>
      </c>
      <c r="D1029" s="165" t="s">
        <v>478</v>
      </c>
      <c r="E1029" s="165"/>
      <c r="F1029" s="157"/>
      <c r="G1029" s="836" t="s">
        <v>778</v>
      </c>
      <c r="H1029" s="836"/>
      <c r="I1029" s="836"/>
      <c r="J1029" s="836"/>
      <c r="K1029" s="836"/>
      <c r="L1029" s="836"/>
      <c r="M1029" s="836"/>
      <c r="N1029" s="836"/>
      <c r="O1029" s="836"/>
      <c r="P1029" s="836"/>
      <c r="Q1029" s="836"/>
      <c r="R1029" s="836"/>
      <c r="S1029" s="833"/>
    </row>
    <row r="1030" spans="1:19" ht="21" customHeight="1">
      <c r="A1030" s="157"/>
      <c r="B1030" s="175" t="s">
        <v>788</v>
      </c>
      <c r="C1030" s="176">
        <v>10000001</v>
      </c>
      <c r="D1030" s="247">
        <v>15</v>
      </c>
      <c r="E1030" s="177" t="s">
        <v>681</v>
      </c>
      <c r="F1030" s="157" t="s">
        <v>789</v>
      </c>
      <c r="G1030" s="172">
        <f>D1028</f>
        <v>10000</v>
      </c>
      <c r="H1030" s="157"/>
      <c r="I1030" s="165" t="s">
        <v>787</v>
      </c>
      <c r="J1030" s="157">
        <v>100</v>
      </c>
      <c r="K1030" s="157"/>
      <c r="L1030" s="157" t="s">
        <v>783</v>
      </c>
      <c r="M1030" s="172">
        <f>C1030</f>
        <v>10000001</v>
      </c>
      <c r="N1030" s="157"/>
      <c r="O1030" s="157" t="s">
        <v>784</v>
      </c>
      <c r="P1030" s="157"/>
      <c r="Q1030" s="199">
        <f>ROUND(G1030*100/M1030,4)</f>
        <v>0.1</v>
      </c>
      <c r="R1030" s="165" t="s">
        <v>562</v>
      </c>
      <c r="S1030" s="833"/>
    </row>
    <row r="1031" spans="1:19" ht="21" customHeight="1">
      <c r="A1031" s="157"/>
      <c r="B1031" s="157"/>
      <c r="C1031" s="176">
        <v>15000000</v>
      </c>
      <c r="D1031" s="247">
        <v>15</v>
      </c>
      <c r="E1031" s="177" t="s">
        <v>681</v>
      </c>
      <c r="F1031" s="157" t="s">
        <v>789</v>
      </c>
      <c r="G1031" s="172">
        <f>D1028</f>
        <v>10000</v>
      </c>
      <c r="H1031" s="157"/>
      <c r="I1031" s="165" t="s">
        <v>787</v>
      </c>
      <c r="J1031" s="157">
        <v>100</v>
      </c>
      <c r="K1031" s="157"/>
      <c r="L1031" s="157" t="s">
        <v>783</v>
      </c>
      <c r="M1031" s="172">
        <f>C1031</f>
        <v>15000000</v>
      </c>
      <c r="N1031" s="157"/>
      <c r="O1031" s="157" t="s">
        <v>784</v>
      </c>
      <c r="P1031" s="157"/>
      <c r="Q1031" s="199">
        <f>ROUND(G1031*100/M1031,4)</f>
        <v>0.0667</v>
      </c>
      <c r="R1031" s="165" t="s">
        <v>562</v>
      </c>
      <c r="S1031" s="833"/>
    </row>
    <row r="1032" spans="1:19" ht="21" customHeight="1">
      <c r="A1032" s="157"/>
      <c r="B1032" s="157"/>
      <c r="C1032" s="176">
        <v>20000000</v>
      </c>
      <c r="D1032" s="247">
        <v>16</v>
      </c>
      <c r="E1032" s="177" t="s">
        <v>681</v>
      </c>
      <c r="F1032" s="157" t="s">
        <v>789</v>
      </c>
      <c r="G1032" s="172">
        <f>D1028</f>
        <v>10000</v>
      </c>
      <c r="H1032" s="157"/>
      <c r="I1032" s="165" t="s">
        <v>787</v>
      </c>
      <c r="J1032" s="157">
        <v>100</v>
      </c>
      <c r="K1032" s="157"/>
      <c r="L1032" s="157" t="s">
        <v>783</v>
      </c>
      <c r="M1032" s="172">
        <f>C1032</f>
        <v>20000000</v>
      </c>
      <c r="N1032" s="157"/>
      <c r="O1032" s="157" t="s">
        <v>784</v>
      </c>
      <c r="P1032" s="157"/>
      <c r="Q1032" s="199">
        <f>ROUND(G1032*100/M1032,4)</f>
        <v>0.05</v>
      </c>
      <c r="R1032" s="165" t="s">
        <v>562</v>
      </c>
      <c r="S1032" s="833"/>
    </row>
    <row r="1033" spans="1:19" ht="21" customHeight="1">
      <c r="A1033" s="157"/>
      <c r="B1033" s="157"/>
      <c r="C1033" s="157"/>
      <c r="D1033" s="157"/>
      <c r="E1033" s="157"/>
      <c r="F1033" s="157"/>
      <c r="G1033" s="157"/>
      <c r="H1033" s="157"/>
      <c r="I1033" s="157"/>
      <c r="J1033" s="157"/>
      <c r="K1033" s="157"/>
      <c r="L1033" s="157"/>
      <c r="M1033" s="200" t="s">
        <v>823</v>
      </c>
      <c r="N1033" s="157"/>
      <c r="O1033" s="157" t="s">
        <v>784</v>
      </c>
      <c r="P1033" s="157"/>
      <c r="Q1033" s="201">
        <f>ROUND((Q1030+Q1031+Q1032)/3,4)</f>
        <v>0.0722</v>
      </c>
      <c r="R1033" s="157"/>
      <c r="S1033" s="833"/>
    </row>
    <row r="1034" spans="1:19" ht="21" customHeight="1">
      <c r="A1034" s="157"/>
      <c r="B1034" s="212" t="s">
        <v>383</v>
      </c>
      <c r="C1034" s="212" t="s">
        <v>384</v>
      </c>
      <c r="D1034" s="212"/>
      <c r="E1034" s="157"/>
      <c r="F1034" s="157"/>
      <c r="G1034" s="157"/>
      <c r="H1034" s="157"/>
      <c r="I1034" s="157"/>
      <c r="J1034" s="157"/>
      <c r="K1034" s="157"/>
      <c r="L1034" s="157"/>
      <c r="M1034" s="157"/>
      <c r="N1034" s="157"/>
      <c r="O1034" s="157"/>
      <c r="P1034" s="157"/>
      <c r="Q1034" s="157"/>
      <c r="R1034" s="157"/>
      <c r="S1034" s="833"/>
    </row>
    <row r="1035" spans="1:19" ht="21" customHeight="1">
      <c r="A1035" s="157"/>
      <c r="B1035" s="157"/>
      <c r="C1035" s="157" t="s">
        <v>378</v>
      </c>
      <c r="D1035" s="166">
        <v>15000</v>
      </c>
      <c r="E1035" s="157" t="s">
        <v>375</v>
      </c>
      <c r="F1035" s="157"/>
      <c r="G1035" s="157"/>
      <c r="H1035" s="157"/>
      <c r="I1035" s="157"/>
      <c r="J1035" s="157"/>
      <c r="K1035" s="157"/>
      <c r="L1035" s="157"/>
      <c r="M1035" s="157"/>
      <c r="N1035" s="157"/>
      <c r="O1035" s="157"/>
      <c r="P1035" s="157"/>
      <c r="Q1035" s="157"/>
      <c r="R1035" s="157"/>
      <c r="S1035" s="833"/>
    </row>
    <row r="1036" spans="1:19" ht="21" customHeight="1">
      <c r="A1036" s="157"/>
      <c r="B1036" s="157" t="s">
        <v>562</v>
      </c>
      <c r="C1036" s="165" t="s">
        <v>463</v>
      </c>
      <c r="D1036" s="165" t="s">
        <v>478</v>
      </c>
      <c r="E1036" s="165"/>
      <c r="F1036" s="157"/>
      <c r="G1036" s="836" t="s">
        <v>778</v>
      </c>
      <c r="H1036" s="836"/>
      <c r="I1036" s="836"/>
      <c r="J1036" s="836"/>
      <c r="K1036" s="836"/>
      <c r="L1036" s="836"/>
      <c r="M1036" s="836"/>
      <c r="N1036" s="836"/>
      <c r="O1036" s="836"/>
      <c r="P1036" s="836"/>
      <c r="Q1036" s="836"/>
      <c r="R1036" s="836"/>
      <c r="S1036" s="833"/>
    </row>
    <row r="1037" spans="1:19" ht="21" customHeight="1">
      <c r="A1037" s="157"/>
      <c r="B1037" s="175" t="s">
        <v>788</v>
      </c>
      <c r="C1037" s="176">
        <v>20000001</v>
      </c>
      <c r="D1037" s="166">
        <v>16</v>
      </c>
      <c r="E1037" s="198" t="s">
        <v>821</v>
      </c>
      <c r="F1037" s="157" t="s">
        <v>789</v>
      </c>
      <c r="G1037" s="172">
        <f>D1035</f>
        <v>15000</v>
      </c>
      <c r="H1037" s="157"/>
      <c r="I1037" s="165" t="s">
        <v>787</v>
      </c>
      <c r="J1037" s="157">
        <v>100</v>
      </c>
      <c r="K1037" s="157"/>
      <c r="L1037" s="157" t="s">
        <v>783</v>
      </c>
      <c r="M1037" s="172">
        <f>C1037</f>
        <v>20000001</v>
      </c>
      <c r="N1037" s="157"/>
      <c r="O1037" s="157" t="s">
        <v>784</v>
      </c>
      <c r="P1037" s="157"/>
      <c r="Q1037" s="199">
        <f>ROUND(G1037*100/M1037,4)</f>
        <v>0.075</v>
      </c>
      <c r="R1037" s="165" t="s">
        <v>562</v>
      </c>
      <c r="S1037" s="833"/>
    </row>
    <row r="1038" spans="1:19" ht="21" customHeight="1">
      <c r="A1038" s="157"/>
      <c r="B1038" s="175" t="s">
        <v>562</v>
      </c>
      <c r="C1038" s="176">
        <v>25000000</v>
      </c>
      <c r="D1038" s="166">
        <v>16</v>
      </c>
      <c r="E1038" s="198" t="s">
        <v>821</v>
      </c>
      <c r="F1038" s="157" t="s">
        <v>789</v>
      </c>
      <c r="G1038" s="172">
        <f>D1035</f>
        <v>15000</v>
      </c>
      <c r="H1038" s="157"/>
      <c r="I1038" s="165" t="s">
        <v>787</v>
      </c>
      <c r="J1038" s="157">
        <v>100</v>
      </c>
      <c r="K1038" s="157"/>
      <c r="L1038" s="157" t="s">
        <v>783</v>
      </c>
      <c r="M1038" s="172">
        <f>C1038</f>
        <v>25000000</v>
      </c>
      <c r="N1038" s="157"/>
      <c r="O1038" s="157" t="s">
        <v>784</v>
      </c>
      <c r="P1038" s="157"/>
      <c r="Q1038" s="199">
        <f>ROUND(G1038*100/M1038,4)</f>
        <v>0.06</v>
      </c>
      <c r="R1038" s="165" t="s">
        <v>562</v>
      </c>
      <c r="S1038" s="833"/>
    </row>
    <row r="1039" spans="1:19" ht="21" customHeight="1">
      <c r="A1039" s="157"/>
      <c r="B1039" s="157"/>
      <c r="C1039" s="176">
        <v>30000000</v>
      </c>
      <c r="D1039" s="166">
        <v>17</v>
      </c>
      <c r="E1039" s="198" t="s">
        <v>821</v>
      </c>
      <c r="F1039" s="157" t="s">
        <v>789</v>
      </c>
      <c r="G1039" s="172">
        <f>D1035</f>
        <v>15000</v>
      </c>
      <c r="H1039" s="157"/>
      <c r="I1039" s="165" t="s">
        <v>787</v>
      </c>
      <c r="J1039" s="157">
        <v>100</v>
      </c>
      <c r="K1039" s="157"/>
      <c r="L1039" s="157" t="s">
        <v>783</v>
      </c>
      <c r="M1039" s="172">
        <f>C1039</f>
        <v>30000000</v>
      </c>
      <c r="N1039" s="157"/>
      <c r="O1039" s="157" t="s">
        <v>784</v>
      </c>
      <c r="P1039" s="157"/>
      <c r="Q1039" s="199">
        <f>ROUND(G1039*100/M1039,4)</f>
        <v>0.05</v>
      </c>
      <c r="R1039" s="165" t="s">
        <v>562</v>
      </c>
      <c r="S1039" s="833"/>
    </row>
    <row r="1040" spans="1:19" ht="21" customHeight="1">
      <c r="A1040" s="157"/>
      <c r="B1040" s="157"/>
      <c r="C1040" s="176">
        <v>40000000</v>
      </c>
      <c r="D1040" s="166">
        <v>17</v>
      </c>
      <c r="E1040" s="198" t="s">
        <v>821</v>
      </c>
      <c r="F1040" s="157" t="s">
        <v>789</v>
      </c>
      <c r="G1040" s="172">
        <f>D1035</f>
        <v>15000</v>
      </c>
      <c r="H1040" s="157"/>
      <c r="I1040" s="165" t="s">
        <v>787</v>
      </c>
      <c r="J1040" s="157">
        <v>100</v>
      </c>
      <c r="K1040" s="157"/>
      <c r="L1040" s="157" t="s">
        <v>783</v>
      </c>
      <c r="M1040" s="172">
        <f>C1040</f>
        <v>40000000</v>
      </c>
      <c r="N1040" s="157"/>
      <c r="O1040" s="157" t="s">
        <v>784</v>
      </c>
      <c r="P1040" s="157"/>
      <c r="Q1040" s="199">
        <f>ROUND(G1040*100/M1040,4)</f>
        <v>0.0375</v>
      </c>
      <c r="R1040" s="165" t="s">
        <v>562</v>
      </c>
      <c r="S1040" s="833"/>
    </row>
    <row r="1041" spans="1:19" ht="21" customHeight="1">
      <c r="A1041" s="157"/>
      <c r="B1041" s="157"/>
      <c r="C1041" s="176">
        <v>50000000</v>
      </c>
      <c r="D1041" s="166">
        <v>18</v>
      </c>
      <c r="E1041" s="198" t="s">
        <v>821</v>
      </c>
      <c r="F1041" s="157" t="s">
        <v>789</v>
      </c>
      <c r="G1041" s="172">
        <f>D1035</f>
        <v>15000</v>
      </c>
      <c r="H1041" s="157"/>
      <c r="I1041" s="165" t="s">
        <v>787</v>
      </c>
      <c r="J1041" s="157">
        <v>100</v>
      </c>
      <c r="K1041" s="157"/>
      <c r="L1041" s="157" t="s">
        <v>783</v>
      </c>
      <c r="M1041" s="172">
        <f>C1041</f>
        <v>50000000</v>
      </c>
      <c r="N1041" s="157"/>
      <c r="O1041" s="157" t="s">
        <v>784</v>
      </c>
      <c r="P1041" s="157"/>
      <c r="Q1041" s="199">
        <f>ROUND(G1041*100/M1041,4)</f>
        <v>0.03</v>
      </c>
      <c r="R1041" s="165" t="s">
        <v>562</v>
      </c>
      <c r="S1041" s="833"/>
    </row>
    <row r="1042" spans="1:19" ht="21" customHeight="1">
      <c r="A1042" s="157"/>
      <c r="B1042" s="157"/>
      <c r="C1042" s="157"/>
      <c r="D1042" s="157"/>
      <c r="E1042" s="157"/>
      <c r="F1042" s="157"/>
      <c r="G1042" s="157"/>
      <c r="H1042" s="157"/>
      <c r="I1042" s="157"/>
      <c r="J1042" s="157"/>
      <c r="K1042" s="157"/>
      <c r="L1042" s="157"/>
      <c r="M1042" s="200" t="s">
        <v>823</v>
      </c>
      <c r="N1042" s="157"/>
      <c r="O1042" s="157" t="s">
        <v>784</v>
      </c>
      <c r="P1042" s="157"/>
      <c r="Q1042" s="201">
        <f>ROUND((Q1037+Q1038+Q1039+Q1040+Q1041)/5,4)</f>
        <v>0.0505</v>
      </c>
      <c r="R1042" s="157"/>
      <c r="S1042" s="833"/>
    </row>
    <row r="1043" spans="1:19" ht="21" customHeight="1">
      <c r="A1043" s="157"/>
      <c r="B1043" s="212" t="s">
        <v>385</v>
      </c>
      <c r="C1043" s="212" t="s">
        <v>325</v>
      </c>
      <c r="D1043" s="212"/>
      <c r="E1043" s="157"/>
      <c r="F1043" s="157"/>
      <c r="G1043" s="157"/>
      <c r="H1043" s="157"/>
      <c r="I1043" s="157"/>
      <c r="J1043" s="157"/>
      <c r="K1043" s="157"/>
      <c r="L1043" s="157"/>
      <c r="M1043" s="157"/>
      <c r="N1043" s="157"/>
      <c r="O1043" s="157"/>
      <c r="P1043" s="157"/>
      <c r="Q1043" s="157"/>
      <c r="R1043" s="157"/>
      <c r="S1043" s="833"/>
    </row>
    <row r="1044" spans="1:19" ht="21" customHeight="1">
      <c r="A1044" s="157"/>
      <c r="B1044" s="157"/>
      <c r="C1044" s="157" t="s">
        <v>378</v>
      </c>
      <c r="D1044" s="166">
        <v>25000</v>
      </c>
      <c r="E1044" s="157" t="s">
        <v>375</v>
      </c>
      <c r="F1044" s="157"/>
      <c r="G1044" s="157"/>
      <c r="H1044" s="157"/>
      <c r="I1044" s="157"/>
      <c r="J1044" s="157"/>
      <c r="K1044" s="157"/>
      <c r="L1044" s="157"/>
      <c r="M1044" s="157"/>
      <c r="N1044" s="157"/>
      <c r="O1044" s="157"/>
      <c r="P1044" s="157"/>
      <c r="Q1044" s="157"/>
      <c r="R1044" s="157"/>
      <c r="S1044" s="833"/>
    </row>
    <row r="1045" spans="1:19" ht="21" customHeight="1">
      <c r="A1045" s="157"/>
      <c r="B1045" s="157" t="s">
        <v>562</v>
      </c>
      <c r="C1045" s="165" t="s">
        <v>463</v>
      </c>
      <c r="D1045" s="165" t="s">
        <v>478</v>
      </c>
      <c r="E1045" s="165"/>
      <c r="F1045" s="157"/>
      <c r="G1045" s="836" t="s">
        <v>778</v>
      </c>
      <c r="H1045" s="836"/>
      <c r="I1045" s="836"/>
      <c r="J1045" s="836"/>
      <c r="K1045" s="836"/>
      <c r="L1045" s="836"/>
      <c r="M1045" s="836"/>
      <c r="N1045" s="836"/>
      <c r="O1045" s="836"/>
      <c r="P1045" s="836"/>
      <c r="Q1045" s="836"/>
      <c r="R1045" s="836"/>
      <c r="S1045" s="833"/>
    </row>
    <row r="1046" spans="1:19" ht="21" customHeight="1">
      <c r="A1046" s="157"/>
      <c r="B1046" s="175" t="s">
        <v>788</v>
      </c>
      <c r="C1046" s="176">
        <v>50000001</v>
      </c>
      <c r="D1046" s="166">
        <v>18</v>
      </c>
      <c r="E1046" s="198" t="s">
        <v>821</v>
      </c>
      <c r="F1046" s="157" t="s">
        <v>789</v>
      </c>
      <c r="G1046" s="172">
        <f>D1044</f>
        <v>25000</v>
      </c>
      <c r="H1046" s="157"/>
      <c r="I1046" s="165" t="s">
        <v>787</v>
      </c>
      <c r="J1046" s="157">
        <v>100</v>
      </c>
      <c r="K1046" s="157"/>
      <c r="L1046" s="157" t="s">
        <v>783</v>
      </c>
      <c r="M1046" s="172">
        <f aca="true" t="shared" si="39" ref="M1046:M1051">C1046</f>
        <v>50000001</v>
      </c>
      <c r="N1046" s="157"/>
      <c r="O1046" s="157" t="s">
        <v>784</v>
      </c>
      <c r="P1046" s="157"/>
      <c r="Q1046" s="199">
        <f aca="true" t="shared" si="40" ref="Q1046:Q1051">ROUND(G1046*100/M1046,4)</f>
        <v>0.05</v>
      </c>
      <c r="R1046" s="165" t="s">
        <v>562</v>
      </c>
      <c r="S1046" s="833"/>
    </row>
    <row r="1047" spans="1:19" ht="21" customHeight="1">
      <c r="A1047" s="157"/>
      <c r="B1047" s="157"/>
      <c r="C1047" s="176">
        <v>60000000</v>
      </c>
      <c r="D1047" s="166">
        <v>18</v>
      </c>
      <c r="E1047" s="198" t="s">
        <v>821</v>
      </c>
      <c r="F1047" s="157" t="s">
        <v>789</v>
      </c>
      <c r="G1047" s="172">
        <f>D1044</f>
        <v>25000</v>
      </c>
      <c r="H1047" s="157"/>
      <c r="I1047" s="165" t="s">
        <v>787</v>
      </c>
      <c r="J1047" s="157">
        <v>100</v>
      </c>
      <c r="K1047" s="157"/>
      <c r="L1047" s="157" t="s">
        <v>783</v>
      </c>
      <c r="M1047" s="172">
        <f t="shared" si="39"/>
        <v>60000000</v>
      </c>
      <c r="N1047" s="157"/>
      <c r="O1047" s="157" t="s">
        <v>784</v>
      </c>
      <c r="P1047" s="157"/>
      <c r="Q1047" s="199">
        <f t="shared" si="40"/>
        <v>0.0417</v>
      </c>
      <c r="R1047" s="165" t="s">
        <v>562</v>
      </c>
      <c r="S1047" s="833"/>
    </row>
    <row r="1048" spans="1:19" ht="21" customHeight="1">
      <c r="A1048" s="157"/>
      <c r="B1048" s="157"/>
      <c r="C1048" s="176">
        <v>70000000</v>
      </c>
      <c r="D1048" s="166">
        <v>20</v>
      </c>
      <c r="E1048" s="198" t="s">
        <v>821</v>
      </c>
      <c r="F1048" s="157" t="s">
        <v>789</v>
      </c>
      <c r="G1048" s="172">
        <f>D1044</f>
        <v>25000</v>
      </c>
      <c r="H1048" s="157"/>
      <c r="I1048" s="165" t="s">
        <v>787</v>
      </c>
      <c r="J1048" s="157">
        <v>100</v>
      </c>
      <c r="K1048" s="157"/>
      <c r="L1048" s="157" t="s">
        <v>783</v>
      </c>
      <c r="M1048" s="172">
        <f t="shared" si="39"/>
        <v>70000000</v>
      </c>
      <c r="N1048" s="157"/>
      <c r="O1048" s="157" t="s">
        <v>784</v>
      </c>
      <c r="P1048" s="157"/>
      <c r="Q1048" s="199">
        <f t="shared" si="40"/>
        <v>0.0357</v>
      </c>
      <c r="R1048" s="165" t="s">
        <v>562</v>
      </c>
      <c r="S1048" s="833"/>
    </row>
    <row r="1049" spans="1:19" ht="21" customHeight="1">
      <c r="A1049" s="157"/>
      <c r="B1049" s="157"/>
      <c r="C1049" s="176">
        <v>80000000</v>
      </c>
      <c r="D1049" s="166">
        <v>20</v>
      </c>
      <c r="E1049" s="198" t="s">
        <v>821</v>
      </c>
      <c r="F1049" s="157" t="s">
        <v>789</v>
      </c>
      <c r="G1049" s="172">
        <f>D1044</f>
        <v>25000</v>
      </c>
      <c r="H1049" s="157"/>
      <c r="I1049" s="165" t="s">
        <v>787</v>
      </c>
      <c r="J1049" s="157">
        <v>100</v>
      </c>
      <c r="K1049" s="157"/>
      <c r="L1049" s="157" t="s">
        <v>783</v>
      </c>
      <c r="M1049" s="172">
        <f t="shared" si="39"/>
        <v>80000000</v>
      </c>
      <c r="N1049" s="157"/>
      <c r="O1049" s="157" t="s">
        <v>784</v>
      </c>
      <c r="P1049" s="157"/>
      <c r="Q1049" s="199">
        <f t="shared" si="40"/>
        <v>0.0313</v>
      </c>
      <c r="R1049" s="165" t="s">
        <v>562</v>
      </c>
      <c r="S1049" s="833"/>
    </row>
    <row r="1050" spans="1:19" ht="21" customHeight="1">
      <c r="A1050" s="157"/>
      <c r="B1050" s="157"/>
      <c r="C1050" s="176">
        <v>90000000</v>
      </c>
      <c r="D1050" s="166">
        <v>20</v>
      </c>
      <c r="E1050" s="198" t="s">
        <v>821</v>
      </c>
      <c r="F1050" s="157" t="s">
        <v>789</v>
      </c>
      <c r="G1050" s="172">
        <f>D1044</f>
        <v>25000</v>
      </c>
      <c r="H1050" s="157"/>
      <c r="I1050" s="165" t="s">
        <v>787</v>
      </c>
      <c r="J1050" s="157">
        <v>100</v>
      </c>
      <c r="K1050" s="157"/>
      <c r="L1050" s="157" t="s">
        <v>783</v>
      </c>
      <c r="M1050" s="172">
        <f t="shared" si="39"/>
        <v>90000000</v>
      </c>
      <c r="N1050" s="157"/>
      <c r="O1050" s="157" t="s">
        <v>784</v>
      </c>
      <c r="P1050" s="157"/>
      <c r="Q1050" s="199">
        <f t="shared" si="40"/>
        <v>0.0278</v>
      </c>
      <c r="R1050" s="165" t="s">
        <v>562</v>
      </c>
      <c r="S1050" s="833"/>
    </row>
    <row r="1051" spans="1:19" ht="21" customHeight="1">
      <c r="A1051" s="157"/>
      <c r="B1051" s="157"/>
      <c r="C1051" s="176">
        <v>100000000</v>
      </c>
      <c r="D1051" s="166">
        <v>20</v>
      </c>
      <c r="E1051" s="198" t="s">
        <v>821</v>
      </c>
      <c r="F1051" s="157" t="s">
        <v>789</v>
      </c>
      <c r="G1051" s="172">
        <f>D1044</f>
        <v>25000</v>
      </c>
      <c r="H1051" s="157"/>
      <c r="I1051" s="165" t="s">
        <v>787</v>
      </c>
      <c r="J1051" s="157">
        <v>100</v>
      </c>
      <c r="K1051" s="157"/>
      <c r="L1051" s="157" t="s">
        <v>783</v>
      </c>
      <c r="M1051" s="172">
        <f t="shared" si="39"/>
        <v>100000000</v>
      </c>
      <c r="N1051" s="157"/>
      <c r="O1051" s="157" t="s">
        <v>784</v>
      </c>
      <c r="P1051" s="157"/>
      <c r="Q1051" s="199">
        <f t="shared" si="40"/>
        <v>0.025</v>
      </c>
      <c r="R1051" s="165" t="s">
        <v>562</v>
      </c>
      <c r="S1051" s="833"/>
    </row>
    <row r="1052" spans="1:19" ht="21" customHeight="1">
      <c r="A1052" s="157"/>
      <c r="B1052" s="157"/>
      <c r="C1052" s="157"/>
      <c r="D1052" s="157"/>
      <c r="E1052" s="157"/>
      <c r="F1052" s="157"/>
      <c r="G1052" s="157"/>
      <c r="H1052" s="157"/>
      <c r="I1052" s="157"/>
      <c r="J1052" s="157"/>
      <c r="K1052" s="157"/>
      <c r="L1052" s="157"/>
      <c r="M1052" s="200" t="s">
        <v>823</v>
      </c>
      <c r="N1052" s="157"/>
      <c r="O1052" s="157" t="s">
        <v>784</v>
      </c>
      <c r="P1052" s="157"/>
      <c r="Q1052" s="201">
        <f>ROUND((Q1046+Q1047+Q1048+Q1049+Q1050+Q1051)/6,4)</f>
        <v>0.0353</v>
      </c>
      <c r="R1052" s="157"/>
      <c r="S1052" s="833"/>
    </row>
    <row r="1053" spans="1:19" ht="21" customHeight="1">
      <c r="A1053" s="835" t="s">
        <v>386</v>
      </c>
      <c r="B1053" s="835"/>
      <c r="C1053" s="835"/>
      <c r="D1053" s="835"/>
      <c r="E1053" s="835"/>
      <c r="F1053" s="835"/>
      <c r="G1053" s="835"/>
      <c r="H1053" s="835"/>
      <c r="I1053" s="835"/>
      <c r="J1053" s="835"/>
      <c r="K1053" s="835"/>
      <c r="L1053" s="835"/>
      <c r="M1053" s="835"/>
      <c r="N1053" s="835"/>
      <c r="O1053" s="835"/>
      <c r="P1053" s="835"/>
      <c r="Q1053" s="835"/>
      <c r="R1053" s="835"/>
      <c r="S1053" s="833"/>
    </row>
    <row r="1054" spans="1:19" ht="21" customHeight="1">
      <c r="A1054" s="157"/>
      <c r="B1054" s="175" t="s">
        <v>562</v>
      </c>
      <c r="C1054" s="157" t="s">
        <v>562</v>
      </c>
      <c r="D1054" s="157" t="s">
        <v>562</v>
      </c>
      <c r="E1054" s="157"/>
      <c r="F1054" s="157"/>
      <c r="G1054" s="157"/>
      <c r="H1054" s="157"/>
      <c r="I1054" s="157"/>
      <c r="J1054" s="157"/>
      <c r="K1054" s="157"/>
      <c r="L1054" s="157"/>
      <c r="M1054" s="157"/>
      <c r="N1054" s="157"/>
      <c r="O1054" s="157"/>
      <c r="P1054" s="157"/>
      <c r="Q1054" s="157"/>
      <c r="R1054" s="157"/>
      <c r="S1054" s="832" t="s">
        <v>387</v>
      </c>
    </row>
    <row r="1055" spans="1:19" ht="21" customHeight="1">
      <c r="A1055" s="157"/>
      <c r="B1055" s="212" t="s">
        <v>388</v>
      </c>
      <c r="C1055" s="212" t="s">
        <v>327</v>
      </c>
      <c r="D1055" s="212"/>
      <c r="E1055" s="157"/>
      <c r="F1055" s="157"/>
      <c r="G1055" s="157"/>
      <c r="H1055" s="157"/>
      <c r="I1055" s="157"/>
      <c r="J1055" s="157"/>
      <c r="K1055" s="157"/>
      <c r="L1055" s="157"/>
      <c r="M1055" s="157"/>
      <c r="N1055" s="157"/>
      <c r="O1055" s="157"/>
      <c r="P1055" s="157"/>
      <c r="Q1055" s="157"/>
      <c r="R1055" s="157"/>
      <c r="S1055" s="833"/>
    </row>
    <row r="1056" spans="1:19" ht="21" customHeight="1">
      <c r="A1056" s="157"/>
      <c r="B1056" s="157"/>
      <c r="C1056" s="157" t="s">
        <v>378</v>
      </c>
      <c r="D1056" s="166">
        <v>50000</v>
      </c>
      <c r="E1056" s="157" t="s">
        <v>375</v>
      </c>
      <c r="F1056" s="157"/>
      <c r="G1056" s="157"/>
      <c r="H1056" s="157"/>
      <c r="I1056" s="157"/>
      <c r="J1056" s="157"/>
      <c r="K1056" s="157"/>
      <c r="L1056" s="157"/>
      <c r="M1056" s="157"/>
      <c r="N1056" s="157"/>
      <c r="O1056" s="157"/>
      <c r="P1056" s="157"/>
      <c r="Q1056" s="157"/>
      <c r="R1056" s="157"/>
      <c r="S1056" s="833"/>
    </row>
    <row r="1057" spans="1:19" ht="21" customHeight="1">
      <c r="A1057" s="157"/>
      <c r="B1057" s="157" t="s">
        <v>562</v>
      </c>
      <c r="C1057" s="165" t="s">
        <v>463</v>
      </c>
      <c r="D1057" s="165" t="s">
        <v>478</v>
      </c>
      <c r="E1057" s="165"/>
      <c r="F1057" s="157"/>
      <c r="G1057" s="836" t="s">
        <v>778</v>
      </c>
      <c r="H1057" s="836"/>
      <c r="I1057" s="836"/>
      <c r="J1057" s="836"/>
      <c r="K1057" s="836"/>
      <c r="L1057" s="836"/>
      <c r="M1057" s="836"/>
      <c r="N1057" s="836"/>
      <c r="O1057" s="836"/>
      <c r="P1057" s="836"/>
      <c r="Q1057" s="836"/>
      <c r="R1057" s="836"/>
      <c r="S1057" s="833"/>
    </row>
    <row r="1058" spans="1:19" ht="21" customHeight="1">
      <c r="A1058" s="157"/>
      <c r="B1058" s="175" t="s">
        <v>788</v>
      </c>
      <c r="C1058" s="176">
        <v>100000001</v>
      </c>
      <c r="D1058" s="166">
        <v>20</v>
      </c>
      <c r="E1058" s="198" t="s">
        <v>821</v>
      </c>
      <c r="F1058" s="157" t="s">
        <v>789</v>
      </c>
      <c r="G1058" s="172">
        <f>D1056</f>
        <v>50000</v>
      </c>
      <c r="H1058" s="157"/>
      <c r="I1058" s="165" t="s">
        <v>787</v>
      </c>
      <c r="J1058" s="157">
        <v>100</v>
      </c>
      <c r="K1058" s="157"/>
      <c r="L1058" s="157" t="s">
        <v>783</v>
      </c>
      <c r="M1058" s="172">
        <f>C1058</f>
        <v>100000001</v>
      </c>
      <c r="N1058" s="157"/>
      <c r="O1058" s="157" t="s">
        <v>784</v>
      </c>
      <c r="P1058" s="157"/>
      <c r="Q1058" s="199">
        <f>ROUND(G1058*100/M1058,4)</f>
        <v>0.05</v>
      </c>
      <c r="R1058" s="165" t="s">
        <v>562</v>
      </c>
      <c r="S1058" s="833"/>
    </row>
    <row r="1059" spans="1:19" ht="21" customHeight="1">
      <c r="A1059" s="157"/>
      <c r="B1059" s="157"/>
      <c r="C1059" s="176">
        <v>150000000</v>
      </c>
      <c r="D1059" s="166">
        <v>22</v>
      </c>
      <c r="E1059" s="198" t="s">
        <v>821</v>
      </c>
      <c r="F1059" s="157" t="s">
        <v>789</v>
      </c>
      <c r="G1059" s="172">
        <f>D1056</f>
        <v>50000</v>
      </c>
      <c r="H1059" s="157"/>
      <c r="I1059" s="165" t="s">
        <v>787</v>
      </c>
      <c r="J1059" s="157">
        <v>100</v>
      </c>
      <c r="K1059" s="157"/>
      <c r="L1059" s="157" t="s">
        <v>783</v>
      </c>
      <c r="M1059" s="172">
        <f>C1059</f>
        <v>150000000</v>
      </c>
      <c r="N1059" s="157"/>
      <c r="O1059" s="157" t="s">
        <v>784</v>
      </c>
      <c r="P1059" s="157"/>
      <c r="Q1059" s="199">
        <f>ROUND(G1059*100/M1059,4)</f>
        <v>0.0333</v>
      </c>
      <c r="R1059" s="165" t="s">
        <v>562</v>
      </c>
      <c r="S1059" s="833"/>
    </row>
    <row r="1060" spans="1:19" ht="21" customHeight="1">
      <c r="A1060" s="157"/>
      <c r="B1060" s="157"/>
      <c r="C1060" s="176">
        <v>200000000</v>
      </c>
      <c r="D1060" s="166">
        <v>24</v>
      </c>
      <c r="E1060" s="198" t="s">
        <v>821</v>
      </c>
      <c r="F1060" s="157" t="s">
        <v>789</v>
      </c>
      <c r="G1060" s="172">
        <f>D1056</f>
        <v>50000</v>
      </c>
      <c r="H1060" s="157"/>
      <c r="I1060" s="165" t="s">
        <v>787</v>
      </c>
      <c r="J1060" s="157">
        <v>100</v>
      </c>
      <c r="K1060" s="157"/>
      <c r="L1060" s="157" t="s">
        <v>783</v>
      </c>
      <c r="M1060" s="172">
        <f>C1060</f>
        <v>200000000</v>
      </c>
      <c r="N1060" s="157"/>
      <c r="O1060" s="157" t="s">
        <v>784</v>
      </c>
      <c r="P1060" s="157"/>
      <c r="Q1060" s="199">
        <f>ROUND(G1060*100/M1060,4)</f>
        <v>0.025</v>
      </c>
      <c r="R1060" s="165" t="s">
        <v>562</v>
      </c>
      <c r="S1060" s="833"/>
    </row>
    <row r="1061" spans="1:19" ht="21" customHeight="1">
      <c r="A1061" s="157"/>
      <c r="B1061" s="157"/>
      <c r="C1061" s="176">
        <v>250000000</v>
      </c>
      <c r="D1061" s="166">
        <v>28</v>
      </c>
      <c r="E1061" s="198" t="s">
        <v>821</v>
      </c>
      <c r="F1061" s="157" t="s">
        <v>789</v>
      </c>
      <c r="G1061" s="172">
        <f>D1056</f>
        <v>50000</v>
      </c>
      <c r="H1061" s="157"/>
      <c r="I1061" s="165" t="s">
        <v>787</v>
      </c>
      <c r="J1061" s="157">
        <v>100</v>
      </c>
      <c r="K1061" s="157"/>
      <c r="L1061" s="157" t="s">
        <v>783</v>
      </c>
      <c r="M1061" s="172">
        <f>C1061</f>
        <v>250000000</v>
      </c>
      <c r="N1061" s="157"/>
      <c r="O1061" s="157" t="s">
        <v>784</v>
      </c>
      <c r="P1061" s="157"/>
      <c r="Q1061" s="199">
        <f>ROUND(G1061*100/M1061,4)</f>
        <v>0.02</v>
      </c>
      <c r="R1061" s="165" t="s">
        <v>562</v>
      </c>
      <c r="S1061" s="833"/>
    </row>
    <row r="1062" spans="1:19" ht="21" customHeight="1">
      <c r="A1062" s="157"/>
      <c r="B1062" s="157"/>
      <c r="C1062" s="176">
        <v>300000000</v>
      </c>
      <c r="D1062" s="166">
        <v>30</v>
      </c>
      <c r="E1062" s="198" t="s">
        <v>821</v>
      </c>
      <c r="F1062" s="157" t="s">
        <v>789</v>
      </c>
      <c r="G1062" s="172">
        <f>D1056</f>
        <v>50000</v>
      </c>
      <c r="H1062" s="157"/>
      <c r="I1062" s="165" t="s">
        <v>787</v>
      </c>
      <c r="J1062" s="157">
        <v>100</v>
      </c>
      <c r="K1062" s="157"/>
      <c r="L1062" s="157" t="s">
        <v>783</v>
      </c>
      <c r="M1062" s="172">
        <f>C1062</f>
        <v>300000000</v>
      </c>
      <c r="N1062" s="157"/>
      <c r="O1062" s="157" t="s">
        <v>784</v>
      </c>
      <c r="P1062" s="157"/>
      <c r="Q1062" s="199">
        <f>ROUND(G1062*100/M1062,4)</f>
        <v>0.0167</v>
      </c>
      <c r="R1062" s="165" t="s">
        <v>562</v>
      </c>
      <c r="S1062" s="833"/>
    </row>
    <row r="1063" spans="1:19" ht="21" customHeight="1">
      <c r="A1063" s="157"/>
      <c r="B1063" s="157"/>
      <c r="C1063" s="157"/>
      <c r="D1063" s="157"/>
      <c r="E1063" s="157"/>
      <c r="F1063" s="157"/>
      <c r="G1063" s="157"/>
      <c r="H1063" s="157"/>
      <c r="I1063" s="157"/>
      <c r="J1063" s="157"/>
      <c r="K1063" s="157"/>
      <c r="L1063" s="157"/>
      <c r="M1063" s="200" t="s">
        <v>823</v>
      </c>
      <c r="N1063" s="157"/>
      <c r="O1063" s="157" t="s">
        <v>784</v>
      </c>
      <c r="P1063" s="157"/>
      <c r="Q1063" s="201">
        <f>ROUND((Q1058+Q1059+Q1060+Q1061+Q1062)/5,4)</f>
        <v>0.029</v>
      </c>
      <c r="R1063" s="157"/>
      <c r="S1063" s="833"/>
    </row>
    <row r="1064" spans="1:19" ht="21" customHeight="1">
      <c r="A1064" s="157"/>
      <c r="B1064" s="212" t="s">
        <v>389</v>
      </c>
      <c r="C1064" s="212" t="s">
        <v>329</v>
      </c>
      <c r="D1064" s="212"/>
      <c r="E1064" s="157"/>
      <c r="F1064" s="157"/>
      <c r="G1064" s="157"/>
      <c r="H1064" s="157"/>
      <c r="I1064" s="157"/>
      <c r="J1064" s="157"/>
      <c r="K1064" s="157"/>
      <c r="L1064" s="157"/>
      <c r="M1064" s="157"/>
      <c r="N1064" s="157"/>
      <c r="O1064" s="157"/>
      <c r="P1064" s="157"/>
      <c r="Q1064" s="157"/>
      <c r="R1064" s="157"/>
      <c r="S1064" s="833"/>
    </row>
    <row r="1065" spans="1:19" ht="21" customHeight="1">
      <c r="A1065" s="157"/>
      <c r="B1065" s="157"/>
      <c r="C1065" s="157" t="s">
        <v>378</v>
      </c>
      <c r="D1065" s="166">
        <v>70000</v>
      </c>
      <c r="E1065" s="157" t="s">
        <v>375</v>
      </c>
      <c r="F1065" s="157"/>
      <c r="G1065" s="157"/>
      <c r="H1065" s="157"/>
      <c r="I1065" s="157"/>
      <c r="J1065" s="157"/>
      <c r="K1065" s="157"/>
      <c r="L1065" s="157"/>
      <c r="M1065" s="157"/>
      <c r="N1065" s="157"/>
      <c r="O1065" s="157"/>
      <c r="P1065" s="157"/>
      <c r="Q1065" s="157"/>
      <c r="R1065" s="157"/>
      <c r="S1065" s="833"/>
    </row>
    <row r="1066" spans="1:19" ht="21" customHeight="1">
      <c r="A1066" s="157"/>
      <c r="B1066" s="157" t="s">
        <v>562</v>
      </c>
      <c r="C1066" s="165" t="s">
        <v>463</v>
      </c>
      <c r="D1066" s="165" t="s">
        <v>478</v>
      </c>
      <c r="E1066" s="165"/>
      <c r="F1066" s="157"/>
      <c r="G1066" s="836" t="s">
        <v>778</v>
      </c>
      <c r="H1066" s="836"/>
      <c r="I1066" s="836"/>
      <c r="J1066" s="836"/>
      <c r="K1066" s="836"/>
      <c r="L1066" s="836"/>
      <c r="M1066" s="836"/>
      <c r="N1066" s="836"/>
      <c r="O1066" s="836"/>
      <c r="P1066" s="836"/>
      <c r="Q1066" s="836"/>
      <c r="R1066" s="836"/>
      <c r="S1066" s="833"/>
    </row>
    <row r="1067" spans="1:19" ht="21" customHeight="1">
      <c r="A1067" s="157"/>
      <c r="B1067" s="175" t="s">
        <v>788</v>
      </c>
      <c r="C1067" s="176">
        <v>300000001</v>
      </c>
      <c r="D1067" s="166">
        <v>30</v>
      </c>
      <c r="E1067" s="198" t="s">
        <v>821</v>
      </c>
      <c r="F1067" s="157" t="s">
        <v>789</v>
      </c>
      <c r="G1067" s="172">
        <f>D1065</f>
        <v>70000</v>
      </c>
      <c r="H1067" s="157"/>
      <c r="I1067" s="165" t="s">
        <v>787</v>
      </c>
      <c r="J1067" s="157">
        <v>100</v>
      </c>
      <c r="K1067" s="157"/>
      <c r="L1067" s="157" t="s">
        <v>783</v>
      </c>
      <c r="M1067" s="172">
        <f>C1067</f>
        <v>300000001</v>
      </c>
      <c r="N1067" s="157"/>
      <c r="O1067" s="157" t="s">
        <v>784</v>
      </c>
      <c r="P1067" s="157"/>
      <c r="Q1067" s="199">
        <f>ROUND(G1067*100/M1067,4)</f>
        <v>0.0233</v>
      </c>
      <c r="R1067" s="165" t="s">
        <v>562</v>
      </c>
      <c r="S1067" s="833"/>
    </row>
    <row r="1068" spans="1:19" ht="21" customHeight="1">
      <c r="A1068" s="157"/>
      <c r="B1068" s="157"/>
      <c r="C1068" s="176">
        <v>350000000</v>
      </c>
      <c r="D1068" s="166">
        <v>32</v>
      </c>
      <c r="E1068" s="198" t="s">
        <v>821</v>
      </c>
      <c r="F1068" s="157" t="s">
        <v>789</v>
      </c>
      <c r="G1068" s="172">
        <f>D1065</f>
        <v>70000</v>
      </c>
      <c r="H1068" s="157"/>
      <c r="I1068" s="165" t="s">
        <v>787</v>
      </c>
      <c r="J1068" s="157">
        <v>100</v>
      </c>
      <c r="K1068" s="157"/>
      <c r="L1068" s="157" t="s">
        <v>783</v>
      </c>
      <c r="M1068" s="172">
        <f>C1068</f>
        <v>350000000</v>
      </c>
      <c r="N1068" s="157"/>
      <c r="O1068" s="157" t="s">
        <v>784</v>
      </c>
      <c r="P1068" s="157"/>
      <c r="Q1068" s="199">
        <f>ROUND(G1068*100/M1068,4)</f>
        <v>0.02</v>
      </c>
      <c r="R1068" s="165" t="s">
        <v>562</v>
      </c>
      <c r="S1068" s="833"/>
    </row>
    <row r="1069" spans="1:19" ht="21" customHeight="1">
      <c r="A1069" s="157"/>
      <c r="B1069" s="157"/>
      <c r="C1069" s="176">
        <v>400000000</v>
      </c>
      <c r="D1069" s="166">
        <v>36</v>
      </c>
      <c r="E1069" s="198" t="s">
        <v>821</v>
      </c>
      <c r="F1069" s="157" t="s">
        <v>789</v>
      </c>
      <c r="G1069" s="172">
        <f>D1065</f>
        <v>70000</v>
      </c>
      <c r="H1069" s="157"/>
      <c r="I1069" s="165" t="s">
        <v>787</v>
      </c>
      <c r="J1069" s="157">
        <v>100</v>
      </c>
      <c r="K1069" s="157"/>
      <c r="L1069" s="157" t="s">
        <v>783</v>
      </c>
      <c r="M1069" s="172">
        <f>C1069</f>
        <v>400000000</v>
      </c>
      <c r="N1069" s="157"/>
      <c r="O1069" s="157" t="s">
        <v>784</v>
      </c>
      <c r="P1069" s="157"/>
      <c r="Q1069" s="199">
        <f>ROUND(G1069*100/M1069,4)</f>
        <v>0.0175</v>
      </c>
      <c r="R1069" s="165" t="s">
        <v>562</v>
      </c>
      <c r="S1069" s="833"/>
    </row>
    <row r="1070" spans="1:19" ht="21" customHeight="1">
      <c r="A1070" s="157"/>
      <c r="B1070" s="157"/>
      <c r="C1070" s="176">
        <v>500000000</v>
      </c>
      <c r="D1070" s="166">
        <v>36</v>
      </c>
      <c r="E1070" s="198" t="s">
        <v>821</v>
      </c>
      <c r="F1070" s="157" t="s">
        <v>789</v>
      </c>
      <c r="G1070" s="172">
        <f>D1065</f>
        <v>70000</v>
      </c>
      <c r="H1070" s="157"/>
      <c r="I1070" s="165" t="s">
        <v>787</v>
      </c>
      <c r="J1070" s="157">
        <v>100</v>
      </c>
      <c r="K1070" s="157"/>
      <c r="L1070" s="157" t="s">
        <v>783</v>
      </c>
      <c r="M1070" s="172">
        <f>C1070</f>
        <v>500000000</v>
      </c>
      <c r="N1070" s="157"/>
      <c r="O1070" s="157" t="s">
        <v>784</v>
      </c>
      <c r="P1070" s="157"/>
      <c r="Q1070" s="199">
        <f>ROUND(G1070*100/M1070,4)</f>
        <v>0.014</v>
      </c>
      <c r="R1070" s="165" t="s">
        <v>562</v>
      </c>
      <c r="S1070" s="833"/>
    </row>
    <row r="1071" spans="1:19" ht="21" customHeight="1">
      <c r="A1071" s="157"/>
      <c r="B1071" s="157"/>
      <c r="C1071" s="157"/>
      <c r="D1071" s="157"/>
      <c r="E1071" s="157"/>
      <c r="F1071" s="157"/>
      <c r="G1071" s="157"/>
      <c r="H1071" s="157"/>
      <c r="I1071" s="157"/>
      <c r="J1071" s="157"/>
      <c r="K1071" s="157"/>
      <c r="L1071" s="157"/>
      <c r="M1071" s="200" t="s">
        <v>823</v>
      </c>
      <c r="N1071" s="157"/>
      <c r="O1071" s="157" t="s">
        <v>784</v>
      </c>
      <c r="P1071" s="157"/>
      <c r="Q1071" s="201">
        <f>ROUND((Q1067+Q1068+Q1069+Q1070)/4,4)</f>
        <v>0.0187</v>
      </c>
      <c r="R1071" s="157"/>
      <c r="S1071" s="833"/>
    </row>
    <row r="1072" spans="1:19" ht="21" customHeight="1">
      <c r="A1072" s="157"/>
      <c r="B1072" s="212" t="s">
        <v>390</v>
      </c>
      <c r="C1072" s="212" t="s">
        <v>332</v>
      </c>
      <c r="D1072" s="212"/>
      <c r="E1072" s="157"/>
      <c r="F1072" s="157"/>
      <c r="G1072" s="157"/>
      <c r="H1072" s="157"/>
      <c r="I1072" s="157"/>
      <c r="J1072" s="157"/>
      <c r="K1072" s="157"/>
      <c r="L1072" s="157"/>
      <c r="M1072" s="157"/>
      <c r="N1072" s="157"/>
      <c r="O1072" s="157"/>
      <c r="P1072" s="157"/>
      <c r="Q1072" s="157"/>
      <c r="R1072" s="157"/>
      <c r="S1072" s="833"/>
    </row>
    <row r="1073" spans="1:19" ht="21" customHeight="1">
      <c r="A1073" s="157"/>
      <c r="B1073" s="157"/>
      <c r="C1073" s="157" t="s">
        <v>378</v>
      </c>
      <c r="D1073" s="166">
        <v>100000</v>
      </c>
      <c r="E1073" s="157" t="s">
        <v>375</v>
      </c>
      <c r="F1073" s="157"/>
      <c r="G1073" s="157"/>
      <c r="H1073" s="157"/>
      <c r="I1073" s="157"/>
      <c r="J1073" s="157"/>
      <c r="K1073" s="157"/>
      <c r="L1073" s="157"/>
      <c r="M1073" s="157"/>
      <c r="N1073" s="157"/>
      <c r="O1073" s="157"/>
      <c r="P1073" s="157"/>
      <c r="Q1073" s="157"/>
      <c r="R1073" s="157"/>
      <c r="S1073" s="833"/>
    </row>
    <row r="1074" spans="1:19" ht="21" customHeight="1">
      <c r="A1074" s="157"/>
      <c r="B1074" s="157" t="s">
        <v>562</v>
      </c>
      <c r="C1074" s="165" t="s">
        <v>463</v>
      </c>
      <c r="D1074" s="165" t="s">
        <v>478</v>
      </c>
      <c r="E1074" s="165"/>
      <c r="F1074" s="157"/>
      <c r="G1074" s="836" t="s">
        <v>778</v>
      </c>
      <c r="H1074" s="836"/>
      <c r="I1074" s="836"/>
      <c r="J1074" s="836"/>
      <c r="K1074" s="836"/>
      <c r="L1074" s="836"/>
      <c r="M1074" s="836"/>
      <c r="N1074" s="836"/>
      <c r="O1074" s="836"/>
      <c r="P1074" s="836"/>
      <c r="Q1074" s="836"/>
      <c r="R1074" s="836"/>
      <c r="S1074" s="833"/>
    </row>
    <row r="1075" spans="1:19" ht="21" customHeight="1">
      <c r="A1075" s="157"/>
      <c r="B1075" s="175" t="s">
        <v>788</v>
      </c>
      <c r="C1075" s="176">
        <v>500000001</v>
      </c>
      <c r="D1075" s="166">
        <v>36</v>
      </c>
      <c r="E1075" s="198" t="s">
        <v>821</v>
      </c>
      <c r="F1075" s="157" t="s">
        <v>789</v>
      </c>
      <c r="G1075" s="172">
        <f>D1073</f>
        <v>100000</v>
      </c>
      <c r="H1075" s="157"/>
      <c r="I1075" s="165" t="s">
        <v>787</v>
      </c>
      <c r="J1075" s="157">
        <v>100</v>
      </c>
      <c r="K1075" s="157"/>
      <c r="L1075" s="157" t="s">
        <v>783</v>
      </c>
      <c r="M1075" s="172">
        <f>C1075</f>
        <v>500000001</v>
      </c>
      <c r="N1075" s="157"/>
      <c r="O1075" s="157" t="s">
        <v>784</v>
      </c>
      <c r="P1075" s="157"/>
      <c r="Q1075" s="199">
        <f>ROUND(G1075*100/M1075,4)</f>
        <v>0.02</v>
      </c>
      <c r="R1075" s="165" t="s">
        <v>562</v>
      </c>
      <c r="S1075" s="833"/>
    </row>
    <row r="1076" spans="1:19" ht="21" customHeight="1">
      <c r="A1076" s="157"/>
      <c r="B1076" s="157"/>
      <c r="C1076" s="176">
        <v>1000000000</v>
      </c>
      <c r="D1076" s="166">
        <v>40</v>
      </c>
      <c r="E1076" s="198" t="s">
        <v>821</v>
      </c>
      <c r="F1076" s="157" t="s">
        <v>789</v>
      </c>
      <c r="G1076" s="172">
        <f>D1073</f>
        <v>100000</v>
      </c>
      <c r="H1076" s="157"/>
      <c r="I1076" s="165" t="s">
        <v>787</v>
      </c>
      <c r="J1076" s="157">
        <v>100</v>
      </c>
      <c r="K1076" s="157"/>
      <c r="L1076" s="157" t="s">
        <v>783</v>
      </c>
      <c r="M1076" s="172">
        <f>C1076</f>
        <v>1000000000</v>
      </c>
      <c r="N1076" s="157"/>
      <c r="O1076" s="157" t="s">
        <v>784</v>
      </c>
      <c r="P1076" s="157"/>
      <c r="Q1076" s="199">
        <f>ROUND(G1076*100/M1076,4)</f>
        <v>0.01</v>
      </c>
      <c r="R1076" s="165" t="s">
        <v>562</v>
      </c>
      <c r="S1076" s="833"/>
    </row>
    <row r="1077" spans="1:19" ht="21" customHeight="1">
      <c r="A1077" s="157"/>
      <c r="B1077" s="157"/>
      <c r="C1077" s="157"/>
      <c r="D1077" s="157"/>
      <c r="E1077" s="157"/>
      <c r="F1077" s="157"/>
      <c r="G1077" s="157"/>
      <c r="H1077" s="157"/>
      <c r="I1077" s="157"/>
      <c r="J1077" s="157"/>
      <c r="K1077" s="157"/>
      <c r="L1077" s="157"/>
      <c r="M1077" s="200" t="s">
        <v>823</v>
      </c>
      <c r="N1077" s="157"/>
      <c r="O1077" s="157" t="s">
        <v>784</v>
      </c>
      <c r="P1077" s="157"/>
      <c r="Q1077" s="201">
        <f>ROUND((Q1075+Q1076)/2,4)</f>
        <v>0.015</v>
      </c>
      <c r="R1077" s="157"/>
      <c r="S1077" s="833"/>
    </row>
    <row r="1078" spans="1:19" ht="21" customHeight="1">
      <c r="A1078" s="157" t="s">
        <v>562</v>
      </c>
      <c r="B1078" s="211" t="s">
        <v>562</v>
      </c>
      <c r="C1078" s="212" t="s">
        <v>562</v>
      </c>
      <c r="D1078" s="157"/>
      <c r="E1078" s="157"/>
      <c r="F1078" s="157"/>
      <c r="G1078" s="157"/>
      <c r="H1078" s="157"/>
      <c r="I1078" s="157"/>
      <c r="J1078" s="157"/>
      <c r="K1078" s="157"/>
      <c r="L1078" s="157"/>
      <c r="M1078" s="157"/>
      <c r="N1078" s="157"/>
      <c r="O1078" s="157"/>
      <c r="P1078" s="157"/>
      <c r="Q1078" s="157"/>
      <c r="R1078" s="157"/>
      <c r="S1078" s="833"/>
    </row>
    <row r="1079" spans="1:19" ht="21" customHeight="1">
      <c r="A1079" s="157"/>
      <c r="B1079" s="157" t="s">
        <v>562</v>
      </c>
      <c r="C1079" s="164" t="s">
        <v>562</v>
      </c>
      <c r="D1079" s="157"/>
      <c r="E1079" s="164" t="s">
        <v>562</v>
      </c>
      <c r="F1079" s="157"/>
      <c r="G1079" s="164" t="s">
        <v>562</v>
      </c>
      <c r="H1079" s="165" t="s">
        <v>562</v>
      </c>
      <c r="I1079" s="165"/>
      <c r="J1079" s="157"/>
      <c r="K1079" s="157"/>
      <c r="L1079" s="157"/>
      <c r="M1079" s="157" t="s">
        <v>562</v>
      </c>
      <c r="N1079" s="165"/>
      <c r="O1079" s="165"/>
      <c r="P1079" s="165"/>
      <c r="Q1079" s="165"/>
      <c r="R1079" s="165"/>
      <c r="S1079" s="833"/>
    </row>
    <row r="1080" spans="1:19" ht="21" customHeight="1">
      <c r="A1080" s="835" t="s">
        <v>391</v>
      </c>
      <c r="B1080" s="835"/>
      <c r="C1080" s="835"/>
      <c r="D1080" s="835"/>
      <c r="E1080" s="835"/>
      <c r="F1080" s="835"/>
      <c r="G1080" s="835"/>
      <c r="H1080" s="835"/>
      <c r="I1080" s="835"/>
      <c r="J1080" s="835"/>
      <c r="K1080" s="835"/>
      <c r="L1080" s="835"/>
      <c r="M1080" s="835"/>
      <c r="N1080" s="835"/>
      <c r="O1080" s="835"/>
      <c r="P1080" s="835"/>
      <c r="Q1080" s="835"/>
      <c r="R1080" s="835"/>
      <c r="S1080" s="833"/>
    </row>
    <row r="1081" spans="1:19" ht="21" customHeight="1">
      <c r="A1081" s="180"/>
      <c r="B1081" s="180"/>
      <c r="C1081" s="180"/>
      <c r="D1081" s="180"/>
      <c r="E1081" s="180"/>
      <c r="F1081" s="180"/>
      <c r="G1081" s="180"/>
      <c r="H1081" s="180"/>
      <c r="I1081" s="180"/>
      <c r="J1081" s="180"/>
      <c r="K1081" s="180"/>
      <c r="L1081" s="180"/>
      <c r="M1081" s="180"/>
      <c r="N1081" s="180"/>
      <c r="O1081" s="180"/>
      <c r="P1081" s="180"/>
      <c r="Q1081" s="180"/>
      <c r="R1081" s="180"/>
      <c r="S1081" s="832" t="s">
        <v>392</v>
      </c>
    </row>
    <row r="1082" spans="1:19" ht="21" customHeight="1">
      <c r="A1082" s="157"/>
      <c r="B1082" s="249" t="s">
        <v>519</v>
      </c>
      <c r="C1082" s="223" t="s">
        <v>393</v>
      </c>
      <c r="D1082" s="224"/>
      <c r="E1082" s="224"/>
      <c r="F1082" s="224"/>
      <c r="G1082" s="224"/>
      <c r="H1082" s="224"/>
      <c r="I1082" s="224"/>
      <c r="J1082" s="224"/>
      <c r="K1082" s="224"/>
      <c r="L1082" s="224"/>
      <c r="M1082" s="224"/>
      <c r="N1082" s="224"/>
      <c r="O1082" s="224"/>
      <c r="P1082" s="224"/>
      <c r="Q1082" s="224"/>
      <c r="R1082" s="157"/>
      <c r="S1082" s="833"/>
    </row>
    <row r="1083" spans="1:19" ht="21" customHeight="1">
      <c r="A1083" s="157"/>
      <c r="B1083" s="224" t="s">
        <v>562</v>
      </c>
      <c r="C1083" s="320" t="s">
        <v>489</v>
      </c>
      <c r="D1083" s="224"/>
      <c r="E1083" s="320" t="s">
        <v>490</v>
      </c>
      <c r="F1083" s="224"/>
      <c r="G1083" s="320" t="s">
        <v>491</v>
      </c>
      <c r="H1083" s="225"/>
      <c r="I1083" s="225"/>
      <c r="J1083" s="224"/>
      <c r="K1083" s="224"/>
      <c r="L1083" s="224"/>
      <c r="M1083" s="224" t="s">
        <v>492</v>
      </c>
      <c r="N1083" s="225"/>
      <c r="O1083" s="225"/>
      <c r="P1083" s="225"/>
      <c r="Q1083" s="225"/>
      <c r="R1083" s="165"/>
      <c r="S1083" s="833"/>
    </row>
    <row r="1084" spans="1:19" ht="21" customHeight="1">
      <c r="A1084" s="157"/>
      <c r="B1084" s="239" t="s">
        <v>788</v>
      </c>
      <c r="C1084" s="240">
        <v>500000</v>
      </c>
      <c r="D1084" s="239" t="s">
        <v>789</v>
      </c>
      <c r="E1084" s="226">
        <f>Q1018</f>
        <v>0.2313</v>
      </c>
      <c r="F1084" s="224"/>
      <c r="G1084" s="240">
        <v>70000000</v>
      </c>
      <c r="H1084" s="225"/>
      <c r="I1084" s="224"/>
      <c r="J1084" s="224"/>
      <c r="K1084" s="224"/>
      <c r="L1084" s="225" t="s">
        <v>789</v>
      </c>
      <c r="M1084" s="226">
        <f>Q1052</f>
        <v>0.0353</v>
      </c>
      <c r="N1084" s="225"/>
      <c r="O1084" s="225"/>
      <c r="P1084" s="225"/>
      <c r="Q1084" s="225"/>
      <c r="R1084" s="157"/>
      <c r="S1084" s="833"/>
    </row>
    <row r="1085" spans="1:19" ht="21" customHeight="1">
      <c r="A1085" s="157"/>
      <c r="B1085" s="224"/>
      <c r="C1085" s="240">
        <v>1000000</v>
      </c>
      <c r="D1085" s="239" t="s">
        <v>789</v>
      </c>
      <c r="E1085" s="226">
        <f>Q1018</f>
        <v>0.2313</v>
      </c>
      <c r="F1085" s="224"/>
      <c r="G1085" s="240">
        <v>80000000</v>
      </c>
      <c r="H1085" s="225"/>
      <c r="I1085" s="224"/>
      <c r="J1085" s="224"/>
      <c r="K1085" s="224"/>
      <c r="L1085" s="225" t="s">
        <v>789</v>
      </c>
      <c r="M1085" s="226">
        <f>Q1052</f>
        <v>0.0353</v>
      </c>
      <c r="N1085" s="225"/>
      <c r="O1085" s="225"/>
      <c r="P1085" s="225"/>
      <c r="Q1085" s="225"/>
      <c r="R1085" s="157"/>
      <c r="S1085" s="833"/>
    </row>
    <row r="1086" spans="1:19" ht="21" customHeight="1">
      <c r="A1086" s="157"/>
      <c r="B1086" s="224"/>
      <c r="C1086" s="240">
        <v>2000000</v>
      </c>
      <c r="D1086" s="239" t="s">
        <v>789</v>
      </c>
      <c r="E1086" s="226">
        <f>Q1018</f>
        <v>0.2313</v>
      </c>
      <c r="F1086" s="224"/>
      <c r="G1086" s="240">
        <v>90000000</v>
      </c>
      <c r="H1086" s="225"/>
      <c r="I1086" s="224"/>
      <c r="J1086" s="224"/>
      <c r="K1086" s="224"/>
      <c r="L1086" s="225" t="s">
        <v>789</v>
      </c>
      <c r="M1086" s="226">
        <f>Q1052</f>
        <v>0.0353</v>
      </c>
      <c r="N1086" s="225"/>
      <c r="O1086" s="225"/>
      <c r="P1086" s="225"/>
      <c r="Q1086" s="225"/>
      <c r="R1086" s="157"/>
      <c r="S1086" s="833"/>
    </row>
    <row r="1087" spans="1:19" ht="21" customHeight="1">
      <c r="A1087" s="157"/>
      <c r="B1087" s="224"/>
      <c r="C1087" s="240">
        <v>5000000</v>
      </c>
      <c r="D1087" s="239" t="s">
        <v>789</v>
      </c>
      <c r="E1087" s="226">
        <f>Q1018</f>
        <v>0.2313</v>
      </c>
      <c r="F1087" s="224"/>
      <c r="G1087" s="240">
        <v>100000000</v>
      </c>
      <c r="H1087" s="225"/>
      <c r="I1087" s="224"/>
      <c r="J1087" s="224"/>
      <c r="K1087" s="224"/>
      <c r="L1087" s="225" t="s">
        <v>789</v>
      </c>
      <c r="M1087" s="226">
        <f>Q1052</f>
        <v>0.0353</v>
      </c>
      <c r="N1087" s="225"/>
      <c r="O1087" s="225"/>
      <c r="P1087" s="225"/>
      <c r="Q1087" s="225"/>
      <c r="R1087" s="157"/>
      <c r="S1087" s="833"/>
    </row>
    <row r="1088" spans="1:19" ht="21" customHeight="1">
      <c r="A1088" s="157"/>
      <c r="B1088" s="224"/>
      <c r="C1088" s="240">
        <v>10000000</v>
      </c>
      <c r="D1088" s="239" t="s">
        <v>789</v>
      </c>
      <c r="E1088" s="226">
        <f>Q1024</f>
        <v>0.09</v>
      </c>
      <c r="F1088" s="224"/>
      <c r="G1088" s="240">
        <v>150000000</v>
      </c>
      <c r="H1088" s="225"/>
      <c r="I1088" s="224"/>
      <c r="J1088" s="224"/>
      <c r="K1088" s="224"/>
      <c r="L1088" s="225" t="s">
        <v>789</v>
      </c>
      <c r="M1088" s="226">
        <f>Q1063</f>
        <v>0.029</v>
      </c>
      <c r="N1088" s="225"/>
      <c r="O1088" s="225"/>
      <c r="P1088" s="225"/>
      <c r="Q1088" s="225"/>
      <c r="R1088" s="157"/>
      <c r="S1088" s="833"/>
    </row>
    <row r="1089" spans="1:19" ht="21" customHeight="1">
      <c r="A1089" s="157"/>
      <c r="B1089" s="224"/>
      <c r="C1089" s="240">
        <v>15000000</v>
      </c>
      <c r="D1089" s="239" t="s">
        <v>789</v>
      </c>
      <c r="E1089" s="226">
        <f>Q1033</f>
        <v>0.0722</v>
      </c>
      <c r="F1089" s="224"/>
      <c r="G1089" s="240">
        <v>200000000</v>
      </c>
      <c r="H1089" s="225"/>
      <c r="I1089" s="224"/>
      <c r="J1089" s="224"/>
      <c r="K1089" s="224"/>
      <c r="L1089" s="225" t="s">
        <v>789</v>
      </c>
      <c r="M1089" s="226">
        <f>Q1063</f>
        <v>0.029</v>
      </c>
      <c r="N1089" s="225"/>
      <c r="O1089" s="225"/>
      <c r="P1089" s="225"/>
      <c r="Q1089" s="225"/>
      <c r="R1089" s="157"/>
      <c r="S1089" s="833"/>
    </row>
    <row r="1090" spans="1:19" ht="21" customHeight="1">
      <c r="A1090" s="157"/>
      <c r="B1090" s="224"/>
      <c r="C1090" s="240">
        <v>20000000</v>
      </c>
      <c r="D1090" s="239" t="s">
        <v>789</v>
      </c>
      <c r="E1090" s="226">
        <f>Q1033</f>
        <v>0.0722</v>
      </c>
      <c r="F1090" s="224"/>
      <c r="G1090" s="240">
        <v>250000000</v>
      </c>
      <c r="H1090" s="225"/>
      <c r="I1090" s="224"/>
      <c r="J1090" s="224"/>
      <c r="K1090" s="224"/>
      <c r="L1090" s="225" t="s">
        <v>789</v>
      </c>
      <c r="M1090" s="226">
        <f>Q1063</f>
        <v>0.029</v>
      </c>
      <c r="N1090" s="225"/>
      <c r="O1090" s="225"/>
      <c r="P1090" s="225"/>
      <c r="Q1090" s="225"/>
      <c r="R1090" s="157"/>
      <c r="S1090" s="833"/>
    </row>
    <row r="1091" spans="1:19" ht="21" customHeight="1">
      <c r="A1091" s="157"/>
      <c r="B1091" s="224"/>
      <c r="C1091" s="240">
        <v>25000000</v>
      </c>
      <c r="D1091" s="239" t="s">
        <v>789</v>
      </c>
      <c r="E1091" s="226">
        <f>Q1042</f>
        <v>0.0505</v>
      </c>
      <c r="F1091" s="224"/>
      <c r="G1091" s="240">
        <v>300000000</v>
      </c>
      <c r="H1091" s="225"/>
      <c r="I1091" s="224"/>
      <c r="J1091" s="224"/>
      <c r="K1091" s="224"/>
      <c r="L1091" s="225" t="s">
        <v>789</v>
      </c>
      <c r="M1091" s="226">
        <f>Q1063</f>
        <v>0.029</v>
      </c>
      <c r="N1091" s="225"/>
      <c r="O1091" s="225"/>
      <c r="P1091" s="225"/>
      <c r="Q1091" s="225"/>
      <c r="R1091" s="157"/>
      <c r="S1091" s="833"/>
    </row>
    <row r="1092" spans="1:19" ht="21" customHeight="1">
      <c r="A1092" s="157"/>
      <c r="B1092" s="224"/>
      <c r="C1092" s="240">
        <v>30000000</v>
      </c>
      <c r="D1092" s="239" t="s">
        <v>789</v>
      </c>
      <c r="E1092" s="226">
        <f>Q1042</f>
        <v>0.0505</v>
      </c>
      <c r="F1092" s="224"/>
      <c r="G1092" s="240">
        <v>350000000</v>
      </c>
      <c r="H1092" s="225"/>
      <c r="I1092" s="224"/>
      <c r="J1092" s="224"/>
      <c r="K1092" s="224"/>
      <c r="L1092" s="225" t="s">
        <v>789</v>
      </c>
      <c r="M1092" s="226">
        <f>Q1071</f>
        <v>0.0187</v>
      </c>
      <c r="N1092" s="225"/>
      <c r="O1092" s="225"/>
      <c r="P1092" s="225"/>
      <c r="Q1092" s="225"/>
      <c r="R1092" s="157"/>
      <c r="S1092" s="833"/>
    </row>
    <row r="1093" spans="1:19" ht="21" customHeight="1">
      <c r="A1093" s="157"/>
      <c r="B1093" s="224"/>
      <c r="C1093" s="240">
        <v>40000000</v>
      </c>
      <c r="D1093" s="239" t="s">
        <v>789</v>
      </c>
      <c r="E1093" s="226">
        <f>Q1042</f>
        <v>0.0505</v>
      </c>
      <c r="F1093" s="224"/>
      <c r="G1093" s="240">
        <v>400000000</v>
      </c>
      <c r="H1093" s="225"/>
      <c r="I1093" s="224"/>
      <c r="J1093" s="224"/>
      <c r="K1093" s="224"/>
      <c r="L1093" s="225" t="s">
        <v>789</v>
      </c>
      <c r="M1093" s="226">
        <f>Q1071</f>
        <v>0.0187</v>
      </c>
      <c r="N1093" s="225"/>
      <c r="O1093" s="225"/>
      <c r="P1093" s="225"/>
      <c r="Q1093" s="225"/>
      <c r="R1093" s="157"/>
      <c r="S1093" s="833"/>
    </row>
    <row r="1094" spans="1:19" ht="21" customHeight="1">
      <c r="A1094" s="157"/>
      <c r="B1094" s="224"/>
      <c r="C1094" s="240">
        <v>50000000</v>
      </c>
      <c r="D1094" s="239" t="s">
        <v>789</v>
      </c>
      <c r="E1094" s="226">
        <f>Q1042</f>
        <v>0.0505</v>
      </c>
      <c r="F1094" s="224"/>
      <c r="G1094" s="240">
        <v>500000000</v>
      </c>
      <c r="H1094" s="225"/>
      <c r="I1094" s="224"/>
      <c r="J1094" s="224"/>
      <c r="K1094" s="224"/>
      <c r="L1094" s="225" t="s">
        <v>789</v>
      </c>
      <c r="M1094" s="226">
        <f>Q1071</f>
        <v>0.0187</v>
      </c>
      <c r="N1094" s="225"/>
      <c r="O1094" s="225"/>
      <c r="P1094" s="225"/>
      <c r="Q1094" s="225"/>
      <c r="R1094" s="157"/>
      <c r="S1094" s="833"/>
    </row>
    <row r="1095" spans="1:19" ht="21" customHeight="1">
      <c r="A1095" s="157"/>
      <c r="B1095" s="224"/>
      <c r="C1095" s="240">
        <v>60000000</v>
      </c>
      <c r="D1095" s="239" t="s">
        <v>789</v>
      </c>
      <c r="E1095" s="226">
        <f>Q1042</f>
        <v>0.0505</v>
      </c>
      <c r="F1095" s="224"/>
      <c r="G1095" s="240">
        <v>1000000000</v>
      </c>
      <c r="H1095" s="225"/>
      <c r="I1095" s="224"/>
      <c r="J1095" s="224"/>
      <c r="K1095" s="224"/>
      <c r="L1095" s="225" t="s">
        <v>789</v>
      </c>
      <c r="M1095" s="226">
        <f>Q1077</f>
        <v>0.015</v>
      </c>
      <c r="N1095" s="225"/>
      <c r="O1095" s="225"/>
      <c r="P1095" s="225"/>
      <c r="Q1095" s="225"/>
      <c r="R1095" s="157"/>
      <c r="S1095" s="833"/>
    </row>
    <row r="1096" spans="1:19" ht="21" customHeight="1">
      <c r="A1096" s="157"/>
      <c r="B1096" s="158" t="s">
        <v>394</v>
      </c>
      <c r="C1096" s="158" t="s">
        <v>395</v>
      </c>
      <c r="D1096" s="159"/>
      <c r="E1096" s="159"/>
      <c r="F1096" s="159"/>
      <c r="G1096" s="159"/>
      <c r="H1096" s="157"/>
      <c r="I1096" s="157"/>
      <c r="J1096" s="157"/>
      <c r="K1096" s="157"/>
      <c r="L1096" s="157"/>
      <c r="M1096" s="157"/>
      <c r="N1096" s="157"/>
      <c r="O1096" s="157"/>
      <c r="P1096" s="157"/>
      <c r="Q1096" s="157"/>
      <c r="R1096" s="157"/>
      <c r="S1096" s="833"/>
    </row>
    <row r="1097" spans="1:19" ht="21" customHeight="1">
      <c r="A1097" s="157"/>
      <c r="B1097" s="161" t="s">
        <v>718</v>
      </c>
      <c r="C1097" s="162" t="s">
        <v>396</v>
      </c>
      <c r="D1097" s="163"/>
      <c r="E1097" s="163"/>
      <c r="F1097" s="163"/>
      <c r="G1097" s="163"/>
      <c r="H1097" s="157"/>
      <c r="I1097" s="157"/>
      <c r="J1097" s="157"/>
      <c r="K1097" s="157"/>
      <c r="L1097" s="157"/>
      <c r="M1097" s="157"/>
      <c r="N1097" s="157"/>
      <c r="O1097" s="157"/>
      <c r="P1097" s="157"/>
      <c r="Q1097" s="157"/>
      <c r="R1097" s="157"/>
      <c r="S1097" s="833"/>
    </row>
    <row r="1098" spans="1:19" ht="21" customHeight="1">
      <c r="A1098" s="157"/>
      <c r="B1098" s="157" t="s">
        <v>397</v>
      </c>
      <c r="C1098" s="210" t="s">
        <v>398</v>
      </c>
      <c r="D1098" s="157"/>
      <c r="E1098" s="157"/>
      <c r="F1098" s="157"/>
      <c r="G1098" s="157"/>
      <c r="H1098" s="157"/>
      <c r="I1098" s="157"/>
      <c r="J1098" s="157"/>
      <c r="K1098" s="157"/>
      <c r="L1098" s="157"/>
      <c r="M1098" s="157"/>
      <c r="N1098" s="157"/>
      <c r="O1098" s="157"/>
      <c r="P1098" s="157"/>
      <c r="Q1098" s="157"/>
      <c r="R1098" s="157"/>
      <c r="S1098" s="833"/>
    </row>
    <row r="1099" spans="1:19" ht="21" customHeight="1">
      <c r="A1099" s="157"/>
      <c r="B1099" s="157"/>
      <c r="C1099" s="157" t="s">
        <v>399</v>
      </c>
      <c r="D1099" s="157"/>
      <c r="E1099" s="157"/>
      <c r="F1099" s="157"/>
      <c r="G1099" s="157"/>
      <c r="H1099" s="157"/>
      <c r="I1099" s="157"/>
      <c r="J1099" s="157"/>
      <c r="K1099" s="157"/>
      <c r="L1099" s="157"/>
      <c r="M1099" s="157"/>
      <c r="N1099" s="157"/>
      <c r="O1099" s="157"/>
      <c r="P1099" s="157"/>
      <c r="Q1099" s="157"/>
      <c r="R1099" s="157"/>
      <c r="S1099" s="833"/>
    </row>
    <row r="1100" spans="1:19" ht="21" customHeight="1">
      <c r="A1100" s="157"/>
      <c r="B1100" s="157"/>
      <c r="C1100" s="157" t="s">
        <v>400</v>
      </c>
      <c r="D1100" s="166">
        <v>12000</v>
      </c>
      <c r="E1100" s="157" t="s">
        <v>247</v>
      </c>
      <c r="F1100" s="157"/>
      <c r="G1100" s="157"/>
      <c r="H1100" s="157"/>
      <c r="I1100" s="157"/>
      <c r="J1100" s="157"/>
      <c r="K1100" s="157"/>
      <c r="L1100" s="157"/>
      <c r="M1100" s="157"/>
      <c r="N1100" s="157"/>
      <c r="O1100" s="157"/>
      <c r="P1100" s="157"/>
      <c r="Q1100" s="157"/>
      <c r="R1100" s="157"/>
      <c r="S1100" s="833"/>
    </row>
    <row r="1101" spans="1:19" ht="21" customHeight="1">
      <c r="A1101" s="157"/>
      <c r="B1101" s="157"/>
      <c r="C1101" s="157" t="s">
        <v>401</v>
      </c>
      <c r="D1101" s="166">
        <v>8000</v>
      </c>
      <c r="E1101" s="157" t="s">
        <v>247</v>
      </c>
      <c r="F1101" s="157"/>
      <c r="G1101" s="157"/>
      <c r="H1101" s="157"/>
      <c r="I1101" s="157"/>
      <c r="J1101" s="157"/>
      <c r="K1101" s="157"/>
      <c r="L1101" s="157"/>
      <c r="M1101" s="157"/>
      <c r="N1101" s="157"/>
      <c r="O1101" s="157"/>
      <c r="P1101" s="157"/>
      <c r="Q1101" s="157"/>
      <c r="R1101" s="157"/>
      <c r="S1101" s="833"/>
    </row>
    <row r="1102" spans="1:19" ht="21" customHeight="1">
      <c r="A1102" s="157"/>
      <c r="B1102" s="157"/>
      <c r="C1102" s="157" t="s">
        <v>402</v>
      </c>
      <c r="D1102" s="166">
        <v>5000</v>
      </c>
      <c r="E1102" s="157" t="s">
        <v>247</v>
      </c>
      <c r="F1102" s="157"/>
      <c r="G1102" s="157"/>
      <c r="H1102" s="157"/>
      <c r="I1102" s="157"/>
      <c r="J1102" s="157"/>
      <c r="K1102" s="157"/>
      <c r="L1102" s="157"/>
      <c r="M1102" s="157"/>
      <c r="N1102" s="157"/>
      <c r="O1102" s="157"/>
      <c r="P1102" s="157"/>
      <c r="Q1102" s="157"/>
      <c r="R1102" s="157"/>
      <c r="S1102" s="833"/>
    </row>
    <row r="1103" spans="1:19" ht="21" customHeight="1">
      <c r="A1103" s="157"/>
      <c r="B1103" s="157"/>
      <c r="C1103" s="157" t="s">
        <v>403</v>
      </c>
      <c r="D1103" s="321">
        <f>D1100+D1101+D1102</f>
        <v>25000</v>
      </c>
      <c r="E1103" s="157" t="s">
        <v>247</v>
      </c>
      <c r="F1103" s="157"/>
      <c r="G1103" s="157"/>
      <c r="H1103" s="157"/>
      <c r="I1103" s="157"/>
      <c r="J1103" s="157"/>
      <c r="K1103" s="157"/>
      <c r="L1103" s="157"/>
      <c r="M1103" s="157"/>
      <c r="N1103" s="157"/>
      <c r="O1103" s="157"/>
      <c r="P1103" s="157"/>
      <c r="Q1103" s="157"/>
      <c r="R1103" s="157"/>
      <c r="S1103" s="833"/>
    </row>
    <row r="1104" spans="1:19" ht="21" customHeight="1">
      <c r="A1104" s="157"/>
      <c r="B1104" s="157" t="s">
        <v>562</v>
      </c>
      <c r="C1104" s="164" t="s">
        <v>404</v>
      </c>
      <c r="D1104" s="157"/>
      <c r="E1104" s="157"/>
      <c r="F1104" s="157"/>
      <c r="G1104" s="157"/>
      <c r="H1104" s="157"/>
      <c r="I1104" s="157"/>
      <c r="J1104" s="157"/>
      <c r="K1104" s="157"/>
      <c r="L1104" s="157"/>
      <c r="M1104" s="157"/>
      <c r="N1104" s="157"/>
      <c r="O1104" s="157"/>
      <c r="P1104" s="157"/>
      <c r="Q1104" s="157"/>
      <c r="R1104" s="157"/>
      <c r="S1104" s="833"/>
    </row>
    <row r="1105" spans="1:19" ht="21" customHeight="1">
      <c r="A1105" s="157"/>
      <c r="B1105" s="157" t="s">
        <v>562</v>
      </c>
      <c r="C1105" s="165" t="s">
        <v>463</v>
      </c>
      <c r="D1105" s="165" t="s">
        <v>478</v>
      </c>
      <c r="E1105" s="165"/>
      <c r="F1105" s="157"/>
      <c r="G1105" s="836" t="s">
        <v>778</v>
      </c>
      <c r="H1105" s="836"/>
      <c r="I1105" s="836"/>
      <c r="J1105" s="836"/>
      <c r="K1105" s="836"/>
      <c r="L1105" s="836"/>
      <c r="M1105" s="836"/>
      <c r="N1105" s="836"/>
      <c r="O1105" s="836"/>
      <c r="P1105" s="836"/>
      <c r="Q1105" s="836"/>
      <c r="R1105" s="836"/>
      <c r="S1105" s="833"/>
    </row>
    <row r="1106" spans="1:19" ht="21" customHeight="1">
      <c r="A1106" s="157"/>
      <c r="B1106" s="175" t="s">
        <v>788</v>
      </c>
      <c r="C1106" s="176">
        <v>500000</v>
      </c>
      <c r="D1106" s="166">
        <v>6</v>
      </c>
      <c r="E1106" s="198" t="s">
        <v>821</v>
      </c>
      <c r="F1106" s="157" t="s">
        <v>789</v>
      </c>
      <c r="G1106" s="172">
        <f>D1101</f>
        <v>8000</v>
      </c>
      <c r="H1106" s="165" t="s">
        <v>787</v>
      </c>
      <c r="I1106" s="165">
        <f>D1106</f>
        <v>6</v>
      </c>
      <c r="J1106" s="157" t="s">
        <v>248</v>
      </c>
      <c r="K1106" s="157"/>
      <c r="L1106" s="157" t="s">
        <v>783</v>
      </c>
      <c r="M1106" s="172">
        <f>C1106</f>
        <v>500000</v>
      </c>
      <c r="N1106" s="157"/>
      <c r="O1106" s="157" t="s">
        <v>784</v>
      </c>
      <c r="P1106" s="157"/>
      <c r="Q1106" s="322">
        <f>ROUND(G1106*I1106*100/M1106,4)</f>
        <v>9.6</v>
      </c>
      <c r="R1106" s="165" t="s">
        <v>562</v>
      </c>
      <c r="S1106" s="833"/>
    </row>
    <row r="1107" spans="1:19" ht="21" customHeight="1">
      <c r="A1107" s="835" t="s">
        <v>405</v>
      </c>
      <c r="B1107" s="835"/>
      <c r="C1107" s="835"/>
      <c r="D1107" s="835"/>
      <c r="E1107" s="835"/>
      <c r="F1107" s="835"/>
      <c r="G1107" s="835"/>
      <c r="H1107" s="835"/>
      <c r="I1107" s="835"/>
      <c r="J1107" s="835"/>
      <c r="K1107" s="835"/>
      <c r="L1107" s="835"/>
      <c r="M1107" s="835"/>
      <c r="N1107" s="835"/>
      <c r="O1107" s="835"/>
      <c r="P1107" s="835"/>
      <c r="Q1107" s="835"/>
      <c r="R1107" s="835"/>
      <c r="S1107" s="833"/>
    </row>
    <row r="1108" spans="1:19" ht="21" customHeight="1">
      <c r="A1108" s="157"/>
      <c r="B1108" s="157" t="s">
        <v>562</v>
      </c>
      <c r="C1108" s="165" t="s">
        <v>463</v>
      </c>
      <c r="D1108" s="165" t="s">
        <v>478</v>
      </c>
      <c r="E1108" s="165"/>
      <c r="F1108" s="157"/>
      <c r="G1108" s="836" t="s">
        <v>778</v>
      </c>
      <c r="H1108" s="836"/>
      <c r="I1108" s="836"/>
      <c r="J1108" s="836"/>
      <c r="K1108" s="836"/>
      <c r="L1108" s="836"/>
      <c r="M1108" s="836"/>
      <c r="N1108" s="836"/>
      <c r="O1108" s="836"/>
      <c r="P1108" s="836"/>
      <c r="Q1108" s="836"/>
      <c r="R1108" s="836"/>
      <c r="S1108" s="832" t="s">
        <v>406</v>
      </c>
    </row>
    <row r="1109" spans="1:19" ht="21" customHeight="1">
      <c r="A1109" s="157"/>
      <c r="B1109" s="175" t="s">
        <v>788</v>
      </c>
      <c r="C1109" s="176">
        <v>1000000</v>
      </c>
      <c r="D1109" s="166">
        <v>6</v>
      </c>
      <c r="E1109" s="198" t="s">
        <v>821</v>
      </c>
      <c r="F1109" s="157" t="s">
        <v>789</v>
      </c>
      <c r="G1109" s="172">
        <f>D1101+D1102</f>
        <v>13000</v>
      </c>
      <c r="H1109" s="165" t="s">
        <v>787</v>
      </c>
      <c r="I1109" s="165">
        <f>D1109</f>
        <v>6</v>
      </c>
      <c r="J1109" s="157" t="s">
        <v>248</v>
      </c>
      <c r="K1109" s="157"/>
      <c r="L1109" s="157" t="s">
        <v>783</v>
      </c>
      <c r="M1109" s="172">
        <f>C1109</f>
        <v>1000000</v>
      </c>
      <c r="N1109" s="157"/>
      <c r="O1109" s="157" t="s">
        <v>784</v>
      </c>
      <c r="P1109" s="157"/>
      <c r="Q1109" s="199">
        <f>ROUND(G1109*I1109*100/M1109,4)</f>
        <v>7.8</v>
      </c>
      <c r="R1109" s="165" t="s">
        <v>562</v>
      </c>
      <c r="S1109" s="833"/>
    </row>
    <row r="1110" spans="1:19" ht="21" customHeight="1">
      <c r="A1110" s="157"/>
      <c r="B1110" s="175"/>
      <c r="C1110" s="176">
        <v>2000000</v>
      </c>
      <c r="D1110" s="166">
        <v>9</v>
      </c>
      <c r="E1110" s="198" t="s">
        <v>821</v>
      </c>
      <c r="F1110" s="157" t="s">
        <v>789</v>
      </c>
      <c r="G1110" s="172">
        <f>D1101+D1102</f>
        <v>13000</v>
      </c>
      <c r="H1110" s="165" t="s">
        <v>787</v>
      </c>
      <c r="I1110" s="165">
        <f>D1110</f>
        <v>9</v>
      </c>
      <c r="J1110" s="157" t="s">
        <v>248</v>
      </c>
      <c r="K1110" s="157"/>
      <c r="L1110" s="157" t="s">
        <v>783</v>
      </c>
      <c r="M1110" s="172">
        <f>C1110</f>
        <v>2000000</v>
      </c>
      <c r="N1110" s="157"/>
      <c r="O1110" s="157" t="s">
        <v>784</v>
      </c>
      <c r="P1110" s="157"/>
      <c r="Q1110" s="199">
        <f>ROUND(G1110*I1110*100/M1110,4)</f>
        <v>5.85</v>
      </c>
      <c r="R1110" s="165"/>
      <c r="S1110" s="833"/>
    </row>
    <row r="1111" spans="1:19" ht="21" customHeight="1">
      <c r="A1111" s="157"/>
      <c r="B1111" s="157"/>
      <c r="C1111" s="176">
        <v>5000000</v>
      </c>
      <c r="D1111" s="166">
        <v>12</v>
      </c>
      <c r="E1111" s="198" t="s">
        <v>821</v>
      </c>
      <c r="F1111" s="157" t="s">
        <v>789</v>
      </c>
      <c r="G1111" s="172">
        <f>D1103</f>
        <v>25000</v>
      </c>
      <c r="H1111" s="165" t="s">
        <v>787</v>
      </c>
      <c r="I1111" s="165">
        <f>D1111</f>
        <v>12</v>
      </c>
      <c r="J1111" s="157" t="s">
        <v>248</v>
      </c>
      <c r="K1111" s="157"/>
      <c r="L1111" s="157" t="s">
        <v>783</v>
      </c>
      <c r="M1111" s="172">
        <f>C1111</f>
        <v>5000000</v>
      </c>
      <c r="N1111" s="157"/>
      <c r="O1111" s="157" t="s">
        <v>784</v>
      </c>
      <c r="P1111" s="157"/>
      <c r="Q1111" s="199">
        <f>ROUND(G1111*I1111*100/M1111,4)</f>
        <v>6</v>
      </c>
      <c r="R1111" s="165" t="s">
        <v>562</v>
      </c>
      <c r="S1111" s="833"/>
    </row>
    <row r="1112" spans="1:19" ht="21" customHeight="1">
      <c r="A1112" s="157"/>
      <c r="B1112" s="157"/>
      <c r="C1112" s="176">
        <v>10000000</v>
      </c>
      <c r="D1112" s="166">
        <v>15</v>
      </c>
      <c r="E1112" s="198" t="s">
        <v>821</v>
      </c>
      <c r="F1112" s="157" t="s">
        <v>789</v>
      </c>
      <c r="G1112" s="172">
        <f>D1103</f>
        <v>25000</v>
      </c>
      <c r="H1112" s="165" t="s">
        <v>787</v>
      </c>
      <c r="I1112" s="165">
        <f>D1112</f>
        <v>15</v>
      </c>
      <c r="J1112" s="157" t="s">
        <v>248</v>
      </c>
      <c r="K1112" s="157"/>
      <c r="L1112" s="157" t="s">
        <v>783</v>
      </c>
      <c r="M1112" s="172">
        <f>C1112</f>
        <v>10000000</v>
      </c>
      <c r="N1112" s="157"/>
      <c r="O1112" s="157" t="s">
        <v>784</v>
      </c>
      <c r="P1112" s="157"/>
      <c r="Q1112" s="199">
        <f>ROUND(G1112*I1112*100/M1112,4)</f>
        <v>3.75</v>
      </c>
      <c r="R1112" s="165" t="s">
        <v>562</v>
      </c>
      <c r="S1112" s="833"/>
    </row>
    <row r="1113" spans="1:19" ht="21" customHeight="1">
      <c r="A1113" s="157"/>
      <c r="B1113" s="157"/>
      <c r="C1113" s="157"/>
      <c r="D1113" s="157"/>
      <c r="E1113" s="157"/>
      <c r="F1113" s="157"/>
      <c r="G1113" s="157"/>
      <c r="H1113" s="157"/>
      <c r="I1113" s="157"/>
      <c r="J1113" s="157"/>
      <c r="K1113" s="157"/>
      <c r="L1113" s="157"/>
      <c r="M1113" s="200" t="s">
        <v>823</v>
      </c>
      <c r="N1113" s="157"/>
      <c r="O1113" s="157" t="s">
        <v>784</v>
      </c>
      <c r="P1113" s="157"/>
      <c r="Q1113" s="201">
        <f>ROUND((Q1106+Q1109+Q1110+Q1111+Q1112)/5,4)</f>
        <v>6.6</v>
      </c>
      <c r="R1113" s="157"/>
      <c r="S1113" s="833"/>
    </row>
    <row r="1114" spans="1:19" ht="21" customHeight="1">
      <c r="A1114" s="157"/>
      <c r="B1114" s="157"/>
      <c r="C1114" s="157"/>
      <c r="D1114" s="157"/>
      <c r="E1114" s="157"/>
      <c r="F1114" s="157"/>
      <c r="G1114" s="323" t="s">
        <v>407</v>
      </c>
      <c r="H1114" s="323"/>
      <c r="I1114" s="323"/>
      <c r="J1114" s="323"/>
      <c r="K1114" s="323"/>
      <c r="L1114" s="323"/>
      <c r="M1114" s="323"/>
      <c r="N1114" s="323"/>
      <c r="O1114" s="157" t="s">
        <v>784</v>
      </c>
      <c r="P1114" s="157"/>
      <c r="Q1114" s="324">
        <f>ROUND(Q1113/2,4)</f>
        <v>3.3</v>
      </c>
      <c r="R1114" s="212" t="s">
        <v>143</v>
      </c>
      <c r="S1114" s="833"/>
    </row>
    <row r="1115" spans="1:19" ht="21" customHeight="1">
      <c r="A1115" s="157"/>
      <c r="B1115" s="157" t="s">
        <v>408</v>
      </c>
      <c r="C1115" s="210" t="s">
        <v>409</v>
      </c>
      <c r="D1115" s="157"/>
      <c r="E1115" s="157"/>
      <c r="F1115" s="157"/>
      <c r="G1115" s="157"/>
      <c r="H1115" s="157"/>
      <c r="I1115" s="157"/>
      <c r="J1115" s="157"/>
      <c r="K1115" s="157"/>
      <c r="L1115" s="157"/>
      <c r="M1115" s="157"/>
      <c r="N1115" s="157"/>
      <c r="O1115" s="157"/>
      <c r="P1115" s="157"/>
      <c r="Q1115" s="157"/>
      <c r="R1115" s="157"/>
      <c r="S1115" s="833"/>
    </row>
    <row r="1116" spans="1:19" ht="21" customHeight="1">
      <c r="A1116" s="157"/>
      <c r="B1116" s="157" t="s">
        <v>562</v>
      </c>
      <c r="C1116" s="157" t="s">
        <v>410</v>
      </c>
      <c r="D1116" s="157"/>
      <c r="E1116" s="157"/>
      <c r="F1116" s="157"/>
      <c r="G1116" s="157"/>
      <c r="H1116" s="157"/>
      <c r="I1116" s="157"/>
      <c r="J1116" s="157"/>
      <c r="K1116" s="157"/>
      <c r="L1116" s="157"/>
      <c r="M1116" s="157"/>
      <c r="N1116" s="157"/>
      <c r="O1116" s="157"/>
      <c r="P1116" s="157"/>
      <c r="Q1116" s="157"/>
      <c r="R1116" s="157"/>
      <c r="S1116" s="833"/>
    </row>
    <row r="1117" spans="1:19" ht="21" customHeight="1">
      <c r="A1117" s="157"/>
      <c r="B1117" s="157"/>
      <c r="C1117" s="157" t="s">
        <v>400</v>
      </c>
      <c r="D1117" s="166">
        <v>15000</v>
      </c>
      <c r="E1117" s="157" t="s">
        <v>247</v>
      </c>
      <c r="F1117" s="157"/>
      <c r="G1117" s="157"/>
      <c r="H1117" s="157"/>
      <c r="I1117" s="157"/>
      <c r="J1117" s="157"/>
      <c r="K1117" s="157"/>
      <c r="L1117" s="157"/>
      <c r="M1117" s="157"/>
      <c r="N1117" s="157"/>
      <c r="O1117" s="157"/>
      <c r="P1117" s="157"/>
      <c r="Q1117" s="157"/>
      <c r="R1117" s="157"/>
      <c r="S1117" s="833"/>
    </row>
    <row r="1118" spans="1:19" ht="21" customHeight="1">
      <c r="A1118" s="157"/>
      <c r="B1118" s="157"/>
      <c r="C1118" s="157" t="s">
        <v>401</v>
      </c>
      <c r="D1118" s="166">
        <v>8000</v>
      </c>
      <c r="E1118" s="157" t="s">
        <v>247</v>
      </c>
      <c r="F1118" s="157"/>
      <c r="G1118" s="157"/>
      <c r="H1118" s="157"/>
      <c r="I1118" s="157"/>
      <c r="J1118" s="157"/>
      <c r="K1118" s="157"/>
      <c r="L1118" s="157"/>
      <c r="M1118" s="157"/>
      <c r="N1118" s="157"/>
      <c r="O1118" s="157"/>
      <c r="P1118" s="157"/>
      <c r="Q1118" s="157"/>
      <c r="R1118" s="157"/>
      <c r="S1118" s="833"/>
    </row>
    <row r="1119" spans="1:19" ht="21" customHeight="1">
      <c r="A1119" s="157"/>
      <c r="B1119" s="157"/>
      <c r="C1119" s="157" t="s">
        <v>402</v>
      </c>
      <c r="D1119" s="166">
        <v>6000</v>
      </c>
      <c r="E1119" s="157" t="s">
        <v>247</v>
      </c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  <c r="P1119" s="157"/>
      <c r="Q1119" s="157"/>
      <c r="R1119" s="157"/>
      <c r="S1119" s="833"/>
    </row>
    <row r="1120" spans="1:19" ht="21" customHeight="1">
      <c r="A1120" s="157"/>
      <c r="B1120" s="157"/>
      <c r="C1120" s="157" t="s">
        <v>411</v>
      </c>
      <c r="D1120" s="166">
        <v>6000</v>
      </c>
      <c r="E1120" s="157" t="s">
        <v>247</v>
      </c>
      <c r="F1120" s="157"/>
      <c r="G1120" s="157"/>
      <c r="H1120" s="157"/>
      <c r="I1120" s="157"/>
      <c r="J1120" s="157"/>
      <c r="K1120" s="157"/>
      <c r="L1120" s="157"/>
      <c r="M1120" s="157"/>
      <c r="N1120" s="157"/>
      <c r="O1120" s="157"/>
      <c r="P1120" s="157"/>
      <c r="Q1120" s="157"/>
      <c r="R1120" s="157"/>
      <c r="S1120" s="833"/>
    </row>
    <row r="1121" spans="1:19" ht="21" customHeight="1">
      <c r="A1121" s="157"/>
      <c r="B1121" s="157"/>
      <c r="C1121" s="157" t="s">
        <v>412</v>
      </c>
      <c r="D1121" s="321">
        <f>D1117+D1118+D1119+D1120</f>
        <v>35000</v>
      </c>
      <c r="E1121" s="157" t="s">
        <v>247</v>
      </c>
      <c r="F1121" s="157"/>
      <c r="G1121" s="157"/>
      <c r="H1121" s="157"/>
      <c r="I1121" s="157"/>
      <c r="J1121" s="157"/>
      <c r="K1121" s="157"/>
      <c r="L1121" s="157"/>
      <c r="M1121" s="157"/>
      <c r="N1121" s="157"/>
      <c r="O1121" s="157"/>
      <c r="P1121" s="157"/>
      <c r="Q1121" s="157"/>
      <c r="R1121" s="157"/>
      <c r="S1121" s="833"/>
    </row>
    <row r="1122" spans="1:19" ht="21" customHeight="1">
      <c r="A1122" s="157"/>
      <c r="B1122" s="157"/>
      <c r="C1122" s="165" t="s">
        <v>463</v>
      </c>
      <c r="D1122" s="165" t="s">
        <v>478</v>
      </c>
      <c r="E1122" s="165"/>
      <c r="F1122" s="157"/>
      <c r="G1122" s="836" t="s">
        <v>778</v>
      </c>
      <c r="H1122" s="836"/>
      <c r="I1122" s="836"/>
      <c r="J1122" s="836"/>
      <c r="K1122" s="836"/>
      <c r="L1122" s="836"/>
      <c r="M1122" s="836"/>
      <c r="N1122" s="836"/>
      <c r="O1122" s="836"/>
      <c r="P1122" s="836"/>
      <c r="Q1122" s="836"/>
      <c r="R1122" s="836"/>
      <c r="S1122" s="833"/>
    </row>
    <row r="1123" spans="1:19" ht="21" customHeight="1">
      <c r="A1123" s="157"/>
      <c r="B1123" s="175" t="s">
        <v>788</v>
      </c>
      <c r="C1123" s="176">
        <v>10000001</v>
      </c>
      <c r="D1123" s="166">
        <v>15</v>
      </c>
      <c r="E1123" s="198" t="s">
        <v>821</v>
      </c>
      <c r="F1123" s="157" t="s">
        <v>789</v>
      </c>
      <c r="G1123" s="172">
        <f>D1121</f>
        <v>35000</v>
      </c>
      <c r="H1123" s="165" t="s">
        <v>787</v>
      </c>
      <c r="I1123" s="165">
        <f>D1123</f>
        <v>15</v>
      </c>
      <c r="J1123" s="157" t="s">
        <v>248</v>
      </c>
      <c r="K1123" s="157"/>
      <c r="L1123" s="157" t="s">
        <v>783</v>
      </c>
      <c r="M1123" s="172">
        <f>C1123</f>
        <v>10000001</v>
      </c>
      <c r="N1123" s="157"/>
      <c r="O1123" s="157" t="s">
        <v>784</v>
      </c>
      <c r="P1123" s="157"/>
      <c r="Q1123" s="199">
        <f>ROUND(G1123*I1123*100/M1123,4)</f>
        <v>5.25</v>
      </c>
      <c r="R1123" s="165" t="s">
        <v>562</v>
      </c>
      <c r="S1123" s="833"/>
    </row>
    <row r="1124" spans="1:19" ht="21" customHeight="1">
      <c r="A1124" s="157"/>
      <c r="B1124" s="157"/>
      <c r="C1124" s="176">
        <v>15000000</v>
      </c>
      <c r="D1124" s="166">
        <v>15</v>
      </c>
      <c r="E1124" s="198" t="s">
        <v>821</v>
      </c>
      <c r="F1124" s="157" t="s">
        <v>789</v>
      </c>
      <c r="G1124" s="172">
        <f>D1121</f>
        <v>35000</v>
      </c>
      <c r="H1124" s="165" t="s">
        <v>787</v>
      </c>
      <c r="I1124" s="165">
        <f>D1124</f>
        <v>15</v>
      </c>
      <c r="J1124" s="157" t="s">
        <v>248</v>
      </c>
      <c r="K1124" s="157"/>
      <c r="L1124" s="157" t="s">
        <v>783</v>
      </c>
      <c r="M1124" s="172">
        <f>C1124</f>
        <v>15000000</v>
      </c>
      <c r="N1124" s="157"/>
      <c r="O1124" s="157" t="s">
        <v>784</v>
      </c>
      <c r="P1124" s="157"/>
      <c r="Q1124" s="199">
        <f>ROUND(G1124*I1124*100/M1124,4)</f>
        <v>3.5</v>
      </c>
      <c r="R1124" s="165" t="s">
        <v>562</v>
      </c>
      <c r="S1124" s="833"/>
    </row>
    <row r="1125" spans="1:19" ht="21" customHeight="1">
      <c r="A1125" s="157"/>
      <c r="B1125" s="157"/>
      <c r="C1125" s="176">
        <v>20000000</v>
      </c>
      <c r="D1125" s="166">
        <v>16</v>
      </c>
      <c r="E1125" s="198" t="s">
        <v>821</v>
      </c>
      <c r="F1125" s="157" t="s">
        <v>789</v>
      </c>
      <c r="G1125" s="172">
        <f>D1121</f>
        <v>35000</v>
      </c>
      <c r="H1125" s="165" t="s">
        <v>787</v>
      </c>
      <c r="I1125" s="165">
        <f>D1125</f>
        <v>16</v>
      </c>
      <c r="J1125" s="157" t="s">
        <v>248</v>
      </c>
      <c r="K1125" s="157"/>
      <c r="L1125" s="157" t="s">
        <v>783</v>
      </c>
      <c r="M1125" s="172">
        <f>C1125</f>
        <v>20000000</v>
      </c>
      <c r="N1125" s="157"/>
      <c r="O1125" s="157" t="s">
        <v>784</v>
      </c>
      <c r="P1125" s="157"/>
      <c r="Q1125" s="199">
        <f>ROUND(G1125*I1125*100/M1125,4)</f>
        <v>2.8</v>
      </c>
      <c r="R1125" s="165" t="s">
        <v>562</v>
      </c>
      <c r="S1125" s="833"/>
    </row>
    <row r="1126" spans="1:19" ht="21" customHeight="1">
      <c r="A1126" s="157"/>
      <c r="B1126" s="157"/>
      <c r="C1126" s="176">
        <v>25000000</v>
      </c>
      <c r="D1126" s="166">
        <v>16</v>
      </c>
      <c r="E1126" s="198" t="s">
        <v>821</v>
      </c>
      <c r="F1126" s="157" t="s">
        <v>789</v>
      </c>
      <c r="G1126" s="172">
        <f>D1121</f>
        <v>35000</v>
      </c>
      <c r="H1126" s="165" t="s">
        <v>787</v>
      </c>
      <c r="I1126" s="165">
        <f>D1126</f>
        <v>16</v>
      </c>
      <c r="J1126" s="157" t="s">
        <v>248</v>
      </c>
      <c r="K1126" s="157"/>
      <c r="L1126" s="157" t="s">
        <v>783</v>
      </c>
      <c r="M1126" s="172">
        <f>C1126</f>
        <v>25000000</v>
      </c>
      <c r="N1126" s="157"/>
      <c r="O1126" s="157" t="s">
        <v>784</v>
      </c>
      <c r="P1126" s="157"/>
      <c r="Q1126" s="199">
        <f>ROUND(G1126*I1126*100/M1126,4)</f>
        <v>2.24</v>
      </c>
      <c r="R1126" s="165" t="s">
        <v>562</v>
      </c>
      <c r="S1126" s="833"/>
    </row>
    <row r="1127" spans="1:19" ht="21" customHeight="1">
      <c r="A1127" s="157"/>
      <c r="B1127" s="157"/>
      <c r="C1127" s="157"/>
      <c r="D1127" s="157"/>
      <c r="E1127" s="157"/>
      <c r="F1127" s="157"/>
      <c r="G1127" s="157"/>
      <c r="H1127" s="157"/>
      <c r="I1127" s="157"/>
      <c r="J1127" s="157"/>
      <c r="K1127" s="157"/>
      <c r="L1127" s="157"/>
      <c r="M1127" s="200" t="s">
        <v>823</v>
      </c>
      <c r="N1127" s="157"/>
      <c r="O1127" s="157" t="s">
        <v>784</v>
      </c>
      <c r="P1127" s="157"/>
      <c r="Q1127" s="201">
        <f>ROUND((Q1123+Q1124+Q1125+Q1126)/4,4)</f>
        <v>3.4475</v>
      </c>
      <c r="R1127" s="157"/>
      <c r="S1127" s="833"/>
    </row>
    <row r="1128" spans="1:19" ht="21" customHeight="1">
      <c r="A1128" s="157"/>
      <c r="B1128" s="157" t="s">
        <v>413</v>
      </c>
      <c r="C1128" s="210" t="s">
        <v>414</v>
      </c>
      <c r="D1128" s="157"/>
      <c r="E1128" s="157"/>
      <c r="F1128" s="157"/>
      <c r="G1128" s="157"/>
      <c r="H1128" s="157"/>
      <c r="I1128" s="157"/>
      <c r="J1128" s="157"/>
      <c r="K1128" s="157"/>
      <c r="L1128" s="157"/>
      <c r="M1128" s="157"/>
      <c r="N1128" s="157"/>
      <c r="O1128" s="157"/>
      <c r="P1128" s="157"/>
      <c r="Q1128" s="157"/>
      <c r="R1128" s="157"/>
      <c r="S1128" s="833"/>
    </row>
    <row r="1129" spans="1:19" ht="21" customHeight="1">
      <c r="A1129" s="157"/>
      <c r="B1129" s="157"/>
      <c r="C1129" s="157" t="s">
        <v>415</v>
      </c>
      <c r="D1129" s="157"/>
      <c r="E1129" s="157"/>
      <c r="F1129" s="157"/>
      <c r="G1129" s="157"/>
      <c r="H1129" s="157"/>
      <c r="I1129" s="157"/>
      <c r="J1129" s="157"/>
      <c r="K1129" s="157"/>
      <c r="L1129" s="157"/>
      <c r="M1129" s="157"/>
      <c r="N1129" s="157"/>
      <c r="O1129" s="157"/>
      <c r="P1129" s="157"/>
      <c r="Q1129" s="157"/>
      <c r="R1129" s="157"/>
      <c r="S1129" s="833"/>
    </row>
    <row r="1130" spans="1:19" ht="21" customHeight="1">
      <c r="A1130" s="157"/>
      <c r="B1130" s="157"/>
      <c r="C1130" s="157" t="s">
        <v>416</v>
      </c>
      <c r="D1130" s="166">
        <v>30000</v>
      </c>
      <c r="E1130" s="157" t="s">
        <v>247</v>
      </c>
      <c r="F1130" s="157"/>
      <c r="G1130" s="157"/>
      <c r="H1130" s="157"/>
      <c r="I1130" s="157"/>
      <c r="J1130" s="157"/>
      <c r="K1130" s="157"/>
      <c r="L1130" s="157"/>
      <c r="M1130" s="157"/>
      <c r="N1130" s="157"/>
      <c r="O1130" s="157"/>
      <c r="P1130" s="157"/>
      <c r="Q1130" s="157"/>
      <c r="R1130" s="157"/>
      <c r="S1130" s="833"/>
    </row>
    <row r="1131" spans="1:19" ht="21" customHeight="1">
      <c r="A1131" s="157"/>
      <c r="B1131" s="157"/>
      <c r="C1131" s="157" t="s">
        <v>400</v>
      </c>
      <c r="D1131" s="166">
        <v>15000</v>
      </c>
      <c r="E1131" s="157" t="s">
        <v>247</v>
      </c>
      <c r="F1131" s="157"/>
      <c r="G1131" s="157"/>
      <c r="H1131" s="157"/>
      <c r="I1131" s="157"/>
      <c r="J1131" s="157"/>
      <c r="K1131" s="157"/>
      <c r="L1131" s="157"/>
      <c r="M1131" s="157"/>
      <c r="N1131" s="157"/>
      <c r="O1131" s="157"/>
      <c r="P1131" s="157"/>
      <c r="Q1131" s="157"/>
      <c r="R1131" s="157"/>
      <c r="S1131" s="833"/>
    </row>
    <row r="1132" spans="1:19" ht="21" customHeight="1">
      <c r="A1132" s="157"/>
      <c r="B1132" s="157"/>
      <c r="C1132" s="157" t="s">
        <v>401</v>
      </c>
      <c r="D1132" s="166">
        <v>8000</v>
      </c>
      <c r="E1132" s="157" t="s">
        <v>247</v>
      </c>
      <c r="F1132" s="157"/>
      <c r="G1132" s="157"/>
      <c r="H1132" s="157"/>
      <c r="I1132" s="157"/>
      <c r="J1132" s="157"/>
      <c r="K1132" s="157"/>
      <c r="L1132" s="157"/>
      <c r="M1132" s="157"/>
      <c r="N1132" s="157"/>
      <c r="O1132" s="157"/>
      <c r="P1132" s="157"/>
      <c r="Q1132" s="157"/>
      <c r="R1132" s="157"/>
      <c r="S1132" s="833"/>
    </row>
    <row r="1133" spans="1:19" ht="21" customHeight="1">
      <c r="A1133" s="157"/>
      <c r="B1133" s="157"/>
      <c r="C1133" s="157" t="s">
        <v>402</v>
      </c>
      <c r="D1133" s="166">
        <v>6000</v>
      </c>
      <c r="E1133" s="157" t="s">
        <v>247</v>
      </c>
      <c r="F1133" s="157"/>
      <c r="G1133" s="157"/>
      <c r="H1133" s="157"/>
      <c r="I1133" s="157"/>
      <c r="J1133" s="157"/>
      <c r="K1133" s="157"/>
      <c r="L1133" s="157"/>
      <c r="M1133" s="157"/>
      <c r="N1133" s="157"/>
      <c r="O1133" s="157"/>
      <c r="P1133" s="157"/>
      <c r="Q1133" s="157"/>
      <c r="R1133" s="157"/>
      <c r="S1133" s="833"/>
    </row>
    <row r="1134" spans="1:19" ht="21" customHeight="1">
      <c r="A1134" s="835" t="s">
        <v>417</v>
      </c>
      <c r="B1134" s="835"/>
      <c r="C1134" s="835"/>
      <c r="D1134" s="835"/>
      <c r="E1134" s="835"/>
      <c r="F1134" s="835"/>
      <c r="G1134" s="835"/>
      <c r="H1134" s="835"/>
      <c r="I1134" s="835"/>
      <c r="J1134" s="835"/>
      <c r="K1134" s="835"/>
      <c r="L1134" s="835"/>
      <c r="M1134" s="835"/>
      <c r="N1134" s="835"/>
      <c r="O1134" s="835"/>
      <c r="P1134" s="835"/>
      <c r="Q1134" s="835"/>
      <c r="R1134" s="835"/>
      <c r="S1134" s="833"/>
    </row>
    <row r="1135" spans="1:19" ht="21" customHeight="1">
      <c r="A1135" s="157"/>
      <c r="B1135" s="157"/>
      <c r="C1135" s="157"/>
      <c r="D1135" s="157"/>
      <c r="E1135" s="157"/>
      <c r="F1135" s="157"/>
      <c r="G1135" s="157"/>
      <c r="H1135" s="157"/>
      <c r="I1135" s="157"/>
      <c r="J1135" s="157"/>
      <c r="K1135" s="157"/>
      <c r="L1135" s="157"/>
      <c r="M1135" s="157"/>
      <c r="N1135" s="157"/>
      <c r="O1135" s="157"/>
      <c r="P1135" s="157"/>
      <c r="Q1135" s="157"/>
      <c r="R1135" s="157"/>
      <c r="S1135" s="832" t="s">
        <v>418</v>
      </c>
    </row>
    <row r="1136" spans="1:19" ht="21" customHeight="1">
      <c r="A1136" s="157"/>
      <c r="B1136" s="157"/>
      <c r="C1136" s="157" t="s">
        <v>411</v>
      </c>
      <c r="D1136" s="166">
        <v>6000</v>
      </c>
      <c r="E1136" s="157" t="s">
        <v>247</v>
      </c>
      <c r="F1136" s="157"/>
      <c r="G1136" s="157"/>
      <c r="H1136" s="157"/>
      <c r="I1136" s="157"/>
      <c r="J1136" s="157"/>
      <c r="K1136" s="157"/>
      <c r="L1136" s="157"/>
      <c r="M1136" s="157"/>
      <c r="N1136" s="157"/>
      <c r="O1136" s="157"/>
      <c r="P1136" s="157"/>
      <c r="Q1136" s="157"/>
      <c r="R1136" s="157"/>
      <c r="S1136" s="833"/>
    </row>
    <row r="1137" spans="1:19" ht="21" customHeight="1">
      <c r="A1137" s="157"/>
      <c r="B1137" s="157"/>
      <c r="C1137" s="157" t="s">
        <v>412</v>
      </c>
      <c r="D1137" s="321">
        <f>D1130+D1131+D1132+D1133++D1136</f>
        <v>65000</v>
      </c>
      <c r="E1137" s="157" t="s">
        <v>247</v>
      </c>
      <c r="F1137" s="157"/>
      <c r="G1137" s="157"/>
      <c r="H1137" s="157"/>
      <c r="I1137" s="157"/>
      <c r="J1137" s="157"/>
      <c r="K1137" s="157"/>
      <c r="L1137" s="157"/>
      <c r="M1137" s="157"/>
      <c r="N1137" s="157"/>
      <c r="O1137" s="157"/>
      <c r="P1137" s="157"/>
      <c r="Q1137" s="157"/>
      <c r="R1137" s="157"/>
      <c r="S1137" s="833"/>
    </row>
    <row r="1138" spans="1:19" ht="21" customHeight="1">
      <c r="A1138" s="157"/>
      <c r="B1138" s="157" t="s">
        <v>562</v>
      </c>
      <c r="C1138" s="165" t="s">
        <v>463</v>
      </c>
      <c r="D1138" s="165" t="s">
        <v>478</v>
      </c>
      <c r="E1138" s="165"/>
      <c r="F1138" s="157"/>
      <c r="G1138" s="836" t="s">
        <v>778</v>
      </c>
      <c r="H1138" s="836"/>
      <c r="I1138" s="836"/>
      <c r="J1138" s="836"/>
      <c r="K1138" s="836"/>
      <c r="L1138" s="836"/>
      <c r="M1138" s="836"/>
      <c r="N1138" s="836"/>
      <c r="O1138" s="836"/>
      <c r="P1138" s="836"/>
      <c r="Q1138" s="836"/>
      <c r="R1138" s="836"/>
      <c r="S1138" s="833"/>
    </row>
    <row r="1139" spans="1:19" ht="21" customHeight="1">
      <c r="A1139" s="157"/>
      <c r="B1139" s="175" t="s">
        <v>788</v>
      </c>
      <c r="C1139" s="176">
        <v>25000001</v>
      </c>
      <c r="D1139" s="166">
        <v>16</v>
      </c>
      <c r="E1139" s="198" t="s">
        <v>821</v>
      </c>
      <c r="F1139" s="157" t="s">
        <v>789</v>
      </c>
      <c r="G1139" s="172">
        <f>D1137</f>
        <v>65000</v>
      </c>
      <c r="H1139" s="165" t="s">
        <v>787</v>
      </c>
      <c r="I1139" s="165">
        <f>D1139</f>
        <v>16</v>
      </c>
      <c r="J1139" s="157" t="s">
        <v>248</v>
      </c>
      <c r="K1139" s="157"/>
      <c r="L1139" s="157" t="s">
        <v>783</v>
      </c>
      <c r="M1139" s="172">
        <f>C1139</f>
        <v>25000001</v>
      </c>
      <c r="N1139" s="157"/>
      <c r="O1139" s="157" t="s">
        <v>784</v>
      </c>
      <c r="P1139" s="157"/>
      <c r="Q1139" s="199">
        <f>ROUND(G1139*I1139*100/M1139,4)</f>
        <v>4.16</v>
      </c>
      <c r="R1139" s="165" t="s">
        <v>562</v>
      </c>
      <c r="S1139" s="833"/>
    </row>
    <row r="1140" spans="1:19" ht="21" customHeight="1">
      <c r="A1140" s="157"/>
      <c r="B1140" s="157"/>
      <c r="C1140" s="176">
        <v>30000000</v>
      </c>
      <c r="D1140" s="166">
        <v>17</v>
      </c>
      <c r="E1140" s="198" t="s">
        <v>821</v>
      </c>
      <c r="F1140" s="157" t="s">
        <v>789</v>
      </c>
      <c r="G1140" s="172">
        <f>D1137</f>
        <v>65000</v>
      </c>
      <c r="H1140" s="165" t="s">
        <v>787</v>
      </c>
      <c r="I1140" s="165">
        <f>D1140</f>
        <v>17</v>
      </c>
      <c r="J1140" s="157" t="s">
        <v>248</v>
      </c>
      <c r="K1140" s="157"/>
      <c r="L1140" s="157" t="s">
        <v>783</v>
      </c>
      <c r="M1140" s="172">
        <f>C1140</f>
        <v>30000000</v>
      </c>
      <c r="N1140" s="157"/>
      <c r="O1140" s="157" t="s">
        <v>784</v>
      </c>
      <c r="P1140" s="157"/>
      <c r="Q1140" s="199">
        <f>ROUND(G1140*I1140*100/M1140,4)</f>
        <v>3.6833</v>
      </c>
      <c r="R1140" s="165" t="s">
        <v>562</v>
      </c>
      <c r="S1140" s="833"/>
    </row>
    <row r="1141" spans="1:19" ht="21" customHeight="1">
      <c r="A1141" s="157"/>
      <c r="B1141" s="157"/>
      <c r="C1141" s="176">
        <v>40000000</v>
      </c>
      <c r="D1141" s="166">
        <v>17</v>
      </c>
      <c r="E1141" s="198" t="s">
        <v>821</v>
      </c>
      <c r="F1141" s="157" t="s">
        <v>789</v>
      </c>
      <c r="G1141" s="172">
        <f>D1137</f>
        <v>65000</v>
      </c>
      <c r="H1141" s="165" t="s">
        <v>787</v>
      </c>
      <c r="I1141" s="165">
        <f>D1141</f>
        <v>17</v>
      </c>
      <c r="J1141" s="157" t="s">
        <v>248</v>
      </c>
      <c r="K1141" s="157"/>
      <c r="L1141" s="157" t="s">
        <v>783</v>
      </c>
      <c r="M1141" s="172">
        <f>C1141</f>
        <v>40000000</v>
      </c>
      <c r="N1141" s="157"/>
      <c r="O1141" s="157" t="s">
        <v>784</v>
      </c>
      <c r="P1141" s="157"/>
      <c r="Q1141" s="199">
        <f>ROUND(G1141*I1141*100/M1141,4)</f>
        <v>2.7625</v>
      </c>
      <c r="R1141" s="165" t="s">
        <v>562</v>
      </c>
      <c r="S1141" s="833"/>
    </row>
    <row r="1142" spans="1:19" ht="21" customHeight="1">
      <c r="A1142" s="157"/>
      <c r="B1142" s="157"/>
      <c r="C1142" s="176">
        <v>50000000</v>
      </c>
      <c r="D1142" s="166">
        <v>18</v>
      </c>
      <c r="E1142" s="198" t="s">
        <v>821</v>
      </c>
      <c r="F1142" s="157" t="s">
        <v>789</v>
      </c>
      <c r="G1142" s="172">
        <f>D1137</f>
        <v>65000</v>
      </c>
      <c r="H1142" s="165" t="s">
        <v>787</v>
      </c>
      <c r="I1142" s="165">
        <f>D1142</f>
        <v>18</v>
      </c>
      <c r="J1142" s="157" t="s">
        <v>248</v>
      </c>
      <c r="K1142" s="157"/>
      <c r="L1142" s="157" t="s">
        <v>783</v>
      </c>
      <c r="M1142" s="172">
        <f>C1142</f>
        <v>50000000</v>
      </c>
      <c r="N1142" s="157"/>
      <c r="O1142" s="157" t="s">
        <v>784</v>
      </c>
      <c r="P1142" s="157"/>
      <c r="Q1142" s="199">
        <f>ROUND(G1142*I1142*100/M1142,4)</f>
        <v>2.34</v>
      </c>
      <c r="R1142" s="165" t="s">
        <v>562</v>
      </c>
      <c r="S1142" s="833"/>
    </row>
    <row r="1143" spans="1:19" ht="21" customHeight="1">
      <c r="A1143" s="157"/>
      <c r="B1143" s="157"/>
      <c r="C1143" s="157"/>
      <c r="D1143" s="157"/>
      <c r="E1143" s="157"/>
      <c r="F1143" s="157"/>
      <c r="G1143" s="157"/>
      <c r="H1143" s="157"/>
      <c r="I1143" s="157"/>
      <c r="J1143" s="157"/>
      <c r="K1143" s="157"/>
      <c r="L1143" s="157"/>
      <c r="M1143" s="200" t="s">
        <v>823</v>
      </c>
      <c r="N1143" s="157"/>
      <c r="O1143" s="157" t="s">
        <v>784</v>
      </c>
      <c r="P1143" s="157"/>
      <c r="Q1143" s="201">
        <f>ROUND((Q1139+Q1140+Q1141+Q1142)/4,4)</f>
        <v>3.2365</v>
      </c>
      <c r="R1143" s="157"/>
      <c r="S1143" s="833"/>
    </row>
    <row r="1144" spans="1:19" ht="21" customHeight="1">
      <c r="A1144" s="157"/>
      <c r="B1144" s="157" t="s">
        <v>419</v>
      </c>
      <c r="C1144" s="210" t="s">
        <v>420</v>
      </c>
      <c r="D1144" s="157"/>
      <c r="E1144" s="157"/>
      <c r="F1144" s="157"/>
      <c r="G1144" s="157"/>
      <c r="H1144" s="157"/>
      <c r="I1144" s="157"/>
      <c r="J1144" s="157"/>
      <c r="K1144" s="157"/>
      <c r="L1144" s="157"/>
      <c r="M1144" s="157"/>
      <c r="N1144" s="157"/>
      <c r="O1144" s="157"/>
      <c r="P1144" s="157"/>
      <c r="Q1144" s="157"/>
      <c r="R1144" s="157"/>
      <c r="S1144" s="833"/>
    </row>
    <row r="1145" spans="1:19" ht="21" customHeight="1">
      <c r="A1145" s="157"/>
      <c r="B1145" s="157"/>
      <c r="C1145" s="157" t="s">
        <v>421</v>
      </c>
      <c r="D1145" s="157"/>
      <c r="E1145" s="157"/>
      <c r="F1145" s="157"/>
      <c r="G1145" s="157"/>
      <c r="H1145" s="157"/>
      <c r="I1145" s="157"/>
      <c r="J1145" s="157"/>
      <c r="K1145" s="157"/>
      <c r="L1145" s="157"/>
      <c r="M1145" s="157"/>
      <c r="N1145" s="157"/>
      <c r="O1145" s="157"/>
      <c r="P1145" s="157"/>
      <c r="Q1145" s="157"/>
      <c r="R1145" s="157"/>
      <c r="S1145" s="833"/>
    </row>
    <row r="1146" spans="1:19" ht="21" customHeight="1">
      <c r="A1146" s="157"/>
      <c r="B1146" s="157"/>
      <c r="C1146" s="157" t="s">
        <v>416</v>
      </c>
      <c r="D1146" s="166">
        <v>40000</v>
      </c>
      <c r="E1146" s="157" t="s">
        <v>247</v>
      </c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7"/>
      <c r="P1146" s="157"/>
      <c r="Q1146" s="157"/>
      <c r="R1146" s="157"/>
      <c r="S1146" s="833"/>
    </row>
    <row r="1147" spans="1:19" ht="21" customHeight="1">
      <c r="A1147" s="157"/>
      <c r="B1147" s="157"/>
      <c r="C1147" s="157" t="s">
        <v>400</v>
      </c>
      <c r="D1147" s="166">
        <v>25000</v>
      </c>
      <c r="E1147" s="157" t="s">
        <v>247</v>
      </c>
      <c r="F1147" s="157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57"/>
      <c r="Q1147" s="157"/>
      <c r="R1147" s="157"/>
      <c r="S1147" s="833"/>
    </row>
    <row r="1148" spans="1:19" ht="21" customHeight="1">
      <c r="A1148" s="157"/>
      <c r="B1148" s="157"/>
      <c r="C1148" s="157" t="s">
        <v>422</v>
      </c>
      <c r="D1148" s="166">
        <v>24000</v>
      </c>
      <c r="E1148" s="157" t="s">
        <v>247</v>
      </c>
      <c r="F1148" s="157"/>
      <c r="G1148" s="157"/>
      <c r="H1148" s="157"/>
      <c r="I1148" s="157"/>
      <c r="J1148" s="157"/>
      <c r="K1148" s="157"/>
      <c r="L1148" s="157"/>
      <c r="M1148" s="157"/>
      <c r="N1148" s="157"/>
      <c r="O1148" s="157"/>
      <c r="P1148" s="157"/>
      <c r="Q1148" s="157"/>
      <c r="R1148" s="157"/>
      <c r="S1148" s="833"/>
    </row>
    <row r="1149" spans="1:19" ht="21" customHeight="1">
      <c r="A1149" s="157"/>
      <c r="B1149" s="157"/>
      <c r="C1149" s="157" t="s">
        <v>402</v>
      </c>
      <c r="D1149" s="166">
        <v>6000</v>
      </c>
      <c r="E1149" s="157" t="s">
        <v>247</v>
      </c>
      <c r="F1149" s="157"/>
      <c r="G1149" s="157"/>
      <c r="H1149" s="157"/>
      <c r="I1149" s="157"/>
      <c r="J1149" s="157"/>
      <c r="K1149" s="157"/>
      <c r="L1149" s="157"/>
      <c r="M1149" s="157"/>
      <c r="N1149" s="157"/>
      <c r="O1149" s="157"/>
      <c r="P1149" s="157"/>
      <c r="Q1149" s="157"/>
      <c r="R1149" s="157"/>
      <c r="S1149" s="833"/>
    </row>
    <row r="1150" spans="1:19" ht="21" customHeight="1">
      <c r="A1150" s="157"/>
      <c r="B1150" s="157"/>
      <c r="C1150" s="157" t="s">
        <v>411</v>
      </c>
      <c r="D1150" s="166">
        <v>10000</v>
      </c>
      <c r="E1150" s="157" t="s">
        <v>247</v>
      </c>
      <c r="F1150" s="157"/>
      <c r="G1150" s="157"/>
      <c r="H1150" s="157"/>
      <c r="I1150" s="157"/>
      <c r="J1150" s="157"/>
      <c r="K1150" s="157"/>
      <c r="L1150" s="157"/>
      <c r="M1150" s="157"/>
      <c r="N1150" s="157"/>
      <c r="O1150" s="157"/>
      <c r="P1150" s="157"/>
      <c r="Q1150" s="157"/>
      <c r="R1150" s="157"/>
      <c r="S1150" s="833"/>
    </row>
    <row r="1151" spans="1:19" ht="21" customHeight="1">
      <c r="A1151" s="157"/>
      <c r="B1151" s="157"/>
      <c r="C1151" s="157" t="s">
        <v>423</v>
      </c>
      <c r="D1151" s="166">
        <v>8000</v>
      </c>
      <c r="E1151" s="157" t="s">
        <v>247</v>
      </c>
      <c r="F1151" s="157"/>
      <c r="G1151" s="157"/>
      <c r="H1151" s="157"/>
      <c r="I1151" s="157"/>
      <c r="J1151" s="157"/>
      <c r="K1151" s="157"/>
      <c r="L1151" s="157"/>
      <c r="M1151" s="157"/>
      <c r="N1151" s="157"/>
      <c r="O1151" s="157"/>
      <c r="P1151" s="157"/>
      <c r="Q1151" s="157"/>
      <c r="R1151" s="157"/>
      <c r="S1151" s="833"/>
    </row>
    <row r="1152" spans="1:19" ht="21" customHeight="1">
      <c r="A1152" s="157"/>
      <c r="B1152" s="157"/>
      <c r="C1152" s="157" t="s">
        <v>403</v>
      </c>
      <c r="D1152" s="321">
        <f>D1146+D1147+D1148+D1149+D1150+D1151</f>
        <v>113000</v>
      </c>
      <c r="E1152" s="157" t="s">
        <v>247</v>
      </c>
      <c r="F1152" s="157"/>
      <c r="G1152" s="157"/>
      <c r="H1152" s="157"/>
      <c r="I1152" s="157"/>
      <c r="J1152" s="157"/>
      <c r="K1152" s="157"/>
      <c r="L1152" s="157"/>
      <c r="M1152" s="157"/>
      <c r="N1152" s="157"/>
      <c r="O1152" s="157"/>
      <c r="P1152" s="157"/>
      <c r="Q1152" s="157"/>
      <c r="R1152" s="157"/>
      <c r="S1152" s="833"/>
    </row>
    <row r="1153" spans="1:19" ht="21" customHeight="1">
      <c r="A1153" s="157"/>
      <c r="B1153" s="157" t="s">
        <v>562</v>
      </c>
      <c r="C1153" s="165" t="s">
        <v>463</v>
      </c>
      <c r="D1153" s="165" t="s">
        <v>478</v>
      </c>
      <c r="E1153" s="165"/>
      <c r="F1153" s="157"/>
      <c r="G1153" s="836" t="s">
        <v>778</v>
      </c>
      <c r="H1153" s="836"/>
      <c r="I1153" s="836"/>
      <c r="J1153" s="836"/>
      <c r="K1153" s="836"/>
      <c r="L1153" s="836"/>
      <c r="M1153" s="836"/>
      <c r="N1153" s="836"/>
      <c r="O1153" s="836"/>
      <c r="P1153" s="836"/>
      <c r="Q1153" s="836"/>
      <c r="R1153" s="836"/>
      <c r="S1153" s="833"/>
    </row>
    <row r="1154" spans="1:19" ht="21" customHeight="1">
      <c r="A1154" s="157"/>
      <c r="B1154" s="175" t="s">
        <v>788</v>
      </c>
      <c r="C1154" s="176">
        <v>50000001</v>
      </c>
      <c r="D1154" s="166">
        <v>18</v>
      </c>
      <c r="E1154" s="198" t="s">
        <v>821</v>
      </c>
      <c r="F1154" s="157" t="s">
        <v>789</v>
      </c>
      <c r="G1154" s="172">
        <f>D1152</f>
        <v>113000</v>
      </c>
      <c r="H1154" s="165" t="s">
        <v>787</v>
      </c>
      <c r="I1154" s="165">
        <f aca="true" t="shared" si="41" ref="I1154:I1159">D1154</f>
        <v>18</v>
      </c>
      <c r="J1154" s="157" t="s">
        <v>248</v>
      </c>
      <c r="K1154" s="157"/>
      <c r="L1154" s="157" t="s">
        <v>783</v>
      </c>
      <c r="M1154" s="172">
        <f aca="true" t="shared" si="42" ref="M1154:M1159">C1154</f>
        <v>50000001</v>
      </c>
      <c r="N1154" s="157"/>
      <c r="O1154" s="157" t="s">
        <v>784</v>
      </c>
      <c r="P1154" s="157"/>
      <c r="Q1154" s="199">
        <f aca="true" t="shared" si="43" ref="Q1154:Q1159">ROUND(G1154*I1154*100/M1154,4)</f>
        <v>4.068</v>
      </c>
      <c r="R1154" s="165" t="s">
        <v>562</v>
      </c>
      <c r="S1154" s="833"/>
    </row>
    <row r="1155" spans="1:19" ht="21" customHeight="1">
      <c r="A1155" s="157"/>
      <c r="B1155" s="157"/>
      <c r="C1155" s="176">
        <v>60000000</v>
      </c>
      <c r="D1155" s="166">
        <v>18</v>
      </c>
      <c r="E1155" s="198" t="s">
        <v>821</v>
      </c>
      <c r="F1155" s="157" t="s">
        <v>789</v>
      </c>
      <c r="G1155" s="172">
        <f>D1152</f>
        <v>113000</v>
      </c>
      <c r="H1155" s="165" t="s">
        <v>787</v>
      </c>
      <c r="I1155" s="165">
        <f t="shared" si="41"/>
        <v>18</v>
      </c>
      <c r="J1155" s="157" t="s">
        <v>248</v>
      </c>
      <c r="K1155" s="157"/>
      <c r="L1155" s="157" t="s">
        <v>783</v>
      </c>
      <c r="M1155" s="172">
        <f t="shared" si="42"/>
        <v>60000000</v>
      </c>
      <c r="N1155" s="157"/>
      <c r="O1155" s="157" t="s">
        <v>784</v>
      </c>
      <c r="P1155" s="157"/>
      <c r="Q1155" s="199">
        <f t="shared" si="43"/>
        <v>3.39</v>
      </c>
      <c r="R1155" s="165" t="s">
        <v>562</v>
      </c>
      <c r="S1155" s="833"/>
    </row>
    <row r="1156" spans="1:19" ht="21" customHeight="1">
      <c r="A1156" s="157"/>
      <c r="B1156" s="157"/>
      <c r="C1156" s="176">
        <v>70000000</v>
      </c>
      <c r="D1156" s="166">
        <v>20</v>
      </c>
      <c r="E1156" s="198" t="s">
        <v>821</v>
      </c>
      <c r="F1156" s="157" t="s">
        <v>789</v>
      </c>
      <c r="G1156" s="172">
        <f>D1152</f>
        <v>113000</v>
      </c>
      <c r="H1156" s="165" t="s">
        <v>787</v>
      </c>
      <c r="I1156" s="165">
        <f t="shared" si="41"/>
        <v>20</v>
      </c>
      <c r="J1156" s="157" t="s">
        <v>248</v>
      </c>
      <c r="K1156" s="157"/>
      <c r="L1156" s="157" t="s">
        <v>783</v>
      </c>
      <c r="M1156" s="172">
        <f t="shared" si="42"/>
        <v>70000000</v>
      </c>
      <c r="N1156" s="157"/>
      <c r="O1156" s="157" t="s">
        <v>784</v>
      </c>
      <c r="P1156" s="157"/>
      <c r="Q1156" s="199">
        <f t="shared" si="43"/>
        <v>3.2286</v>
      </c>
      <c r="R1156" s="165" t="s">
        <v>562</v>
      </c>
      <c r="S1156" s="833"/>
    </row>
    <row r="1157" spans="1:19" ht="21" customHeight="1">
      <c r="A1157" s="157"/>
      <c r="B1157" s="157"/>
      <c r="C1157" s="176">
        <v>80000000</v>
      </c>
      <c r="D1157" s="166">
        <v>20</v>
      </c>
      <c r="E1157" s="198" t="s">
        <v>821</v>
      </c>
      <c r="F1157" s="157" t="s">
        <v>789</v>
      </c>
      <c r="G1157" s="172">
        <f>D1152</f>
        <v>113000</v>
      </c>
      <c r="H1157" s="165" t="s">
        <v>787</v>
      </c>
      <c r="I1157" s="165">
        <f t="shared" si="41"/>
        <v>20</v>
      </c>
      <c r="J1157" s="157" t="s">
        <v>248</v>
      </c>
      <c r="K1157" s="157"/>
      <c r="L1157" s="157" t="s">
        <v>783</v>
      </c>
      <c r="M1157" s="172">
        <f t="shared" si="42"/>
        <v>80000000</v>
      </c>
      <c r="N1157" s="157"/>
      <c r="O1157" s="157" t="s">
        <v>784</v>
      </c>
      <c r="P1157" s="157"/>
      <c r="Q1157" s="199">
        <f t="shared" si="43"/>
        <v>2.825</v>
      </c>
      <c r="R1157" s="165" t="s">
        <v>562</v>
      </c>
      <c r="S1157" s="833"/>
    </row>
    <row r="1158" spans="1:19" ht="21" customHeight="1">
      <c r="A1158" s="157"/>
      <c r="B1158" s="157"/>
      <c r="C1158" s="176">
        <v>90000000</v>
      </c>
      <c r="D1158" s="166">
        <v>20</v>
      </c>
      <c r="E1158" s="198" t="s">
        <v>821</v>
      </c>
      <c r="F1158" s="157" t="s">
        <v>789</v>
      </c>
      <c r="G1158" s="172">
        <f>D1152</f>
        <v>113000</v>
      </c>
      <c r="H1158" s="165" t="s">
        <v>787</v>
      </c>
      <c r="I1158" s="165">
        <f t="shared" si="41"/>
        <v>20</v>
      </c>
      <c r="J1158" s="157" t="s">
        <v>248</v>
      </c>
      <c r="K1158" s="157"/>
      <c r="L1158" s="157" t="s">
        <v>783</v>
      </c>
      <c r="M1158" s="172">
        <f t="shared" si="42"/>
        <v>90000000</v>
      </c>
      <c r="N1158" s="157"/>
      <c r="O1158" s="157" t="s">
        <v>784</v>
      </c>
      <c r="P1158" s="157"/>
      <c r="Q1158" s="199">
        <f t="shared" si="43"/>
        <v>2.5111</v>
      </c>
      <c r="R1158" s="165" t="s">
        <v>562</v>
      </c>
      <c r="S1158" s="833"/>
    </row>
    <row r="1159" spans="1:19" ht="21" customHeight="1">
      <c r="A1159" s="157"/>
      <c r="B1159" s="157"/>
      <c r="C1159" s="176">
        <v>100000000</v>
      </c>
      <c r="D1159" s="166">
        <v>20</v>
      </c>
      <c r="E1159" s="198" t="s">
        <v>821</v>
      </c>
      <c r="F1159" s="157" t="s">
        <v>789</v>
      </c>
      <c r="G1159" s="172">
        <f>D1152</f>
        <v>113000</v>
      </c>
      <c r="H1159" s="165" t="s">
        <v>787</v>
      </c>
      <c r="I1159" s="165">
        <f t="shared" si="41"/>
        <v>20</v>
      </c>
      <c r="J1159" s="157" t="s">
        <v>248</v>
      </c>
      <c r="K1159" s="157"/>
      <c r="L1159" s="157" t="s">
        <v>783</v>
      </c>
      <c r="M1159" s="172">
        <f t="shared" si="42"/>
        <v>100000000</v>
      </c>
      <c r="N1159" s="157"/>
      <c r="O1159" s="157" t="s">
        <v>784</v>
      </c>
      <c r="P1159" s="157"/>
      <c r="Q1159" s="199">
        <f t="shared" si="43"/>
        <v>2.26</v>
      </c>
      <c r="R1159" s="165" t="s">
        <v>562</v>
      </c>
      <c r="S1159" s="833"/>
    </row>
    <row r="1160" spans="1:19" ht="21" customHeight="1">
      <c r="A1160" s="157"/>
      <c r="B1160" s="157"/>
      <c r="C1160" s="157"/>
      <c r="D1160" s="157"/>
      <c r="E1160" s="157"/>
      <c r="F1160" s="157"/>
      <c r="G1160" s="157"/>
      <c r="H1160" s="157"/>
      <c r="I1160" s="157"/>
      <c r="J1160" s="157"/>
      <c r="K1160" s="157"/>
      <c r="L1160" s="157"/>
      <c r="M1160" s="200" t="s">
        <v>823</v>
      </c>
      <c r="N1160" s="157"/>
      <c r="O1160" s="157" t="s">
        <v>784</v>
      </c>
      <c r="P1160" s="157"/>
      <c r="Q1160" s="201">
        <f>ROUND((Q1154+Q1155+Q1156+Q1157+Q1158+Q1159)/6,4)</f>
        <v>3.0471</v>
      </c>
      <c r="R1160" s="157"/>
      <c r="S1160" s="833"/>
    </row>
    <row r="1161" spans="1:19" ht="21" customHeight="1">
      <c r="A1161" s="835" t="s">
        <v>424</v>
      </c>
      <c r="B1161" s="835"/>
      <c r="C1161" s="835"/>
      <c r="D1161" s="835"/>
      <c r="E1161" s="835"/>
      <c r="F1161" s="835"/>
      <c r="G1161" s="835"/>
      <c r="H1161" s="835"/>
      <c r="I1161" s="835"/>
      <c r="J1161" s="835"/>
      <c r="K1161" s="835"/>
      <c r="L1161" s="835"/>
      <c r="M1161" s="835"/>
      <c r="N1161" s="835"/>
      <c r="O1161" s="835"/>
      <c r="P1161" s="835"/>
      <c r="Q1161" s="835"/>
      <c r="R1161" s="835"/>
      <c r="S1161" s="833"/>
    </row>
    <row r="1162" spans="1:19" ht="21" customHeight="1">
      <c r="A1162" s="157"/>
      <c r="B1162" s="157"/>
      <c r="C1162" s="157"/>
      <c r="D1162" s="157"/>
      <c r="E1162" s="157"/>
      <c r="F1162" s="157"/>
      <c r="G1162" s="157"/>
      <c r="H1162" s="157"/>
      <c r="I1162" s="157"/>
      <c r="J1162" s="157"/>
      <c r="K1162" s="157"/>
      <c r="L1162" s="157"/>
      <c r="M1162" s="157"/>
      <c r="N1162" s="157"/>
      <c r="O1162" s="157"/>
      <c r="P1162" s="157"/>
      <c r="Q1162" s="157"/>
      <c r="R1162" s="157"/>
      <c r="S1162" s="832" t="s">
        <v>425</v>
      </c>
    </row>
    <row r="1163" spans="1:19" ht="21" customHeight="1">
      <c r="A1163" s="157"/>
      <c r="B1163" s="157" t="s">
        <v>426</v>
      </c>
      <c r="C1163" s="210" t="s">
        <v>427</v>
      </c>
      <c r="D1163" s="157"/>
      <c r="E1163" s="157"/>
      <c r="F1163" s="157"/>
      <c r="G1163" s="157"/>
      <c r="H1163" s="157"/>
      <c r="I1163" s="157"/>
      <c r="J1163" s="157"/>
      <c r="K1163" s="157"/>
      <c r="L1163" s="157"/>
      <c r="M1163" s="157"/>
      <c r="N1163" s="157"/>
      <c r="O1163" s="157"/>
      <c r="P1163" s="157"/>
      <c r="Q1163" s="157"/>
      <c r="R1163" s="157"/>
      <c r="S1163" s="833"/>
    </row>
    <row r="1164" spans="1:19" ht="21" customHeight="1">
      <c r="A1164" s="157"/>
      <c r="B1164" s="157"/>
      <c r="C1164" s="157" t="s">
        <v>428</v>
      </c>
      <c r="D1164" s="157"/>
      <c r="E1164" s="157"/>
      <c r="F1164" s="157"/>
      <c r="G1164" s="157"/>
      <c r="H1164" s="157"/>
      <c r="I1164" s="157"/>
      <c r="J1164" s="157"/>
      <c r="K1164" s="157"/>
      <c r="L1164" s="157"/>
      <c r="M1164" s="157"/>
      <c r="N1164" s="157"/>
      <c r="O1164" s="157"/>
      <c r="P1164" s="157"/>
      <c r="Q1164" s="157"/>
      <c r="R1164" s="157"/>
      <c r="S1164" s="833"/>
    </row>
    <row r="1165" spans="1:19" ht="21" customHeight="1">
      <c r="A1165" s="157"/>
      <c r="B1165" s="157"/>
      <c r="C1165" s="157" t="s">
        <v>416</v>
      </c>
      <c r="D1165" s="166">
        <v>50000</v>
      </c>
      <c r="E1165" s="157" t="s">
        <v>247</v>
      </c>
      <c r="F1165" s="157"/>
      <c r="G1165" s="157"/>
      <c r="H1165" s="157"/>
      <c r="I1165" s="157"/>
      <c r="J1165" s="157"/>
      <c r="K1165" s="157"/>
      <c r="L1165" s="157"/>
      <c r="M1165" s="157"/>
      <c r="N1165" s="157"/>
      <c r="O1165" s="157"/>
      <c r="P1165" s="157"/>
      <c r="Q1165" s="157"/>
      <c r="R1165" s="157"/>
      <c r="S1165" s="833"/>
    </row>
    <row r="1166" spans="1:19" ht="21" customHeight="1">
      <c r="A1166" s="157"/>
      <c r="B1166" s="157"/>
      <c r="C1166" s="157" t="s">
        <v>429</v>
      </c>
      <c r="D1166" s="166">
        <v>90000</v>
      </c>
      <c r="E1166" s="157" t="s">
        <v>247</v>
      </c>
      <c r="F1166" s="157"/>
      <c r="G1166" s="157"/>
      <c r="H1166" s="157"/>
      <c r="I1166" s="157"/>
      <c r="J1166" s="157"/>
      <c r="K1166" s="157"/>
      <c r="L1166" s="157"/>
      <c r="M1166" s="157"/>
      <c r="N1166" s="157"/>
      <c r="O1166" s="157"/>
      <c r="P1166" s="157"/>
      <c r="Q1166" s="157"/>
      <c r="R1166" s="157"/>
      <c r="S1166" s="833"/>
    </row>
    <row r="1167" spans="1:19" ht="21" customHeight="1">
      <c r="A1167" s="157"/>
      <c r="B1167" s="157"/>
      <c r="C1167" s="157" t="s">
        <v>430</v>
      </c>
      <c r="D1167" s="166">
        <v>36000</v>
      </c>
      <c r="E1167" s="157" t="s">
        <v>247</v>
      </c>
      <c r="F1167" s="157"/>
      <c r="G1167" s="157"/>
      <c r="H1167" s="157"/>
      <c r="I1167" s="157"/>
      <c r="J1167" s="157"/>
      <c r="K1167" s="157"/>
      <c r="L1167" s="157"/>
      <c r="M1167" s="157"/>
      <c r="N1167" s="157"/>
      <c r="O1167" s="157"/>
      <c r="P1167" s="157"/>
      <c r="Q1167" s="157"/>
      <c r="R1167" s="157"/>
      <c r="S1167" s="833"/>
    </row>
    <row r="1168" spans="1:19" ht="21" customHeight="1">
      <c r="A1168" s="157"/>
      <c r="B1168" s="157"/>
      <c r="C1168" s="157" t="s">
        <v>431</v>
      </c>
      <c r="D1168" s="166">
        <v>16000</v>
      </c>
      <c r="E1168" s="157" t="s">
        <v>247</v>
      </c>
      <c r="F1168" s="157"/>
      <c r="G1168" s="157"/>
      <c r="H1168" s="157"/>
      <c r="I1168" s="157"/>
      <c r="J1168" s="157"/>
      <c r="K1168" s="157"/>
      <c r="L1168" s="157"/>
      <c r="M1168" s="157"/>
      <c r="N1168" s="157"/>
      <c r="O1168" s="157"/>
      <c r="P1168" s="157"/>
      <c r="Q1168" s="157"/>
      <c r="R1168" s="157"/>
      <c r="S1168" s="833"/>
    </row>
    <row r="1169" spans="1:19" ht="21" customHeight="1">
      <c r="A1169" s="157"/>
      <c r="B1169" s="157"/>
      <c r="C1169" s="157" t="s">
        <v>432</v>
      </c>
      <c r="D1169" s="166">
        <v>24000</v>
      </c>
      <c r="E1169" s="157" t="s">
        <v>247</v>
      </c>
      <c r="F1169" s="157"/>
      <c r="G1169" s="157"/>
      <c r="H1169" s="157"/>
      <c r="I1169" s="157"/>
      <c r="J1169" s="157"/>
      <c r="K1169" s="157"/>
      <c r="L1169" s="157"/>
      <c r="M1169" s="157"/>
      <c r="N1169" s="157"/>
      <c r="O1169" s="157"/>
      <c r="P1169" s="157"/>
      <c r="Q1169" s="157"/>
      <c r="R1169" s="157"/>
      <c r="S1169" s="833"/>
    </row>
    <row r="1170" spans="1:19" ht="21" customHeight="1">
      <c r="A1170" s="157"/>
      <c r="B1170" s="157"/>
      <c r="C1170" s="157" t="s">
        <v>433</v>
      </c>
      <c r="D1170" s="166">
        <v>16000</v>
      </c>
      <c r="E1170" s="157" t="s">
        <v>247</v>
      </c>
      <c r="F1170" s="157"/>
      <c r="G1170" s="157"/>
      <c r="H1170" s="157"/>
      <c r="I1170" s="157"/>
      <c r="J1170" s="157"/>
      <c r="K1170" s="157"/>
      <c r="L1170" s="157"/>
      <c r="M1170" s="157"/>
      <c r="N1170" s="157"/>
      <c r="O1170" s="157"/>
      <c r="P1170" s="157"/>
      <c r="Q1170" s="157"/>
      <c r="R1170" s="157"/>
      <c r="S1170" s="833"/>
    </row>
    <row r="1171" spans="1:19" ht="21" customHeight="1">
      <c r="A1171" s="157"/>
      <c r="B1171" s="157"/>
      <c r="C1171" s="157" t="s">
        <v>412</v>
      </c>
      <c r="D1171" s="172">
        <f>D1165+D1166+D1167+D1168+D1169+D1170</f>
        <v>232000</v>
      </c>
      <c r="E1171" s="157" t="s">
        <v>247</v>
      </c>
      <c r="F1171" s="157"/>
      <c r="G1171" s="157"/>
      <c r="H1171" s="157"/>
      <c r="I1171" s="157"/>
      <c r="J1171" s="157"/>
      <c r="K1171" s="157"/>
      <c r="L1171" s="157"/>
      <c r="M1171" s="157"/>
      <c r="N1171" s="157"/>
      <c r="O1171" s="157"/>
      <c r="P1171" s="157"/>
      <c r="Q1171" s="157"/>
      <c r="R1171" s="157"/>
      <c r="S1171" s="833"/>
    </row>
    <row r="1172" spans="1:19" ht="21" customHeight="1">
      <c r="A1172" s="157"/>
      <c r="B1172" s="157" t="s">
        <v>562</v>
      </c>
      <c r="C1172" s="165" t="s">
        <v>463</v>
      </c>
      <c r="D1172" s="165" t="s">
        <v>478</v>
      </c>
      <c r="E1172" s="165"/>
      <c r="F1172" s="157"/>
      <c r="G1172" s="836" t="s">
        <v>778</v>
      </c>
      <c r="H1172" s="836"/>
      <c r="I1172" s="836"/>
      <c r="J1172" s="836"/>
      <c r="K1172" s="836"/>
      <c r="L1172" s="836"/>
      <c r="M1172" s="836"/>
      <c r="N1172" s="836"/>
      <c r="O1172" s="836"/>
      <c r="P1172" s="836"/>
      <c r="Q1172" s="836"/>
      <c r="R1172" s="836"/>
      <c r="S1172" s="833"/>
    </row>
    <row r="1173" spans="1:19" ht="21" customHeight="1">
      <c r="A1173" s="157"/>
      <c r="B1173" s="175" t="s">
        <v>788</v>
      </c>
      <c r="C1173" s="176">
        <v>100000001</v>
      </c>
      <c r="D1173" s="166">
        <v>20</v>
      </c>
      <c r="E1173" s="198" t="s">
        <v>821</v>
      </c>
      <c r="F1173" s="157" t="s">
        <v>789</v>
      </c>
      <c r="G1173" s="172">
        <f>D1171</f>
        <v>232000</v>
      </c>
      <c r="H1173" s="165" t="s">
        <v>787</v>
      </c>
      <c r="I1173" s="165">
        <f>D1173</f>
        <v>20</v>
      </c>
      <c r="J1173" s="157" t="s">
        <v>248</v>
      </c>
      <c r="K1173" s="157"/>
      <c r="L1173" s="157" t="s">
        <v>783</v>
      </c>
      <c r="M1173" s="172">
        <f>C1173</f>
        <v>100000001</v>
      </c>
      <c r="N1173" s="157"/>
      <c r="O1173" s="157" t="s">
        <v>784</v>
      </c>
      <c r="P1173" s="157"/>
      <c r="Q1173" s="199">
        <f>ROUND(G1173*I1173*100/M1173,4)</f>
        <v>4.64</v>
      </c>
      <c r="R1173" s="165" t="s">
        <v>562</v>
      </c>
      <c r="S1173" s="833"/>
    </row>
    <row r="1174" spans="1:19" ht="21" customHeight="1">
      <c r="A1174" s="157"/>
      <c r="B1174" s="157"/>
      <c r="C1174" s="176">
        <v>150000000</v>
      </c>
      <c r="D1174" s="166">
        <v>22</v>
      </c>
      <c r="E1174" s="198" t="s">
        <v>821</v>
      </c>
      <c r="F1174" s="157" t="s">
        <v>789</v>
      </c>
      <c r="G1174" s="172">
        <f>D1171</f>
        <v>232000</v>
      </c>
      <c r="H1174" s="165" t="s">
        <v>787</v>
      </c>
      <c r="I1174" s="165">
        <f>D1174</f>
        <v>22</v>
      </c>
      <c r="J1174" s="157" t="s">
        <v>248</v>
      </c>
      <c r="K1174" s="157"/>
      <c r="L1174" s="157" t="s">
        <v>783</v>
      </c>
      <c r="M1174" s="172">
        <f>C1174</f>
        <v>150000000</v>
      </c>
      <c r="N1174" s="157"/>
      <c r="O1174" s="157" t="s">
        <v>784</v>
      </c>
      <c r="P1174" s="157"/>
      <c r="Q1174" s="199">
        <f>ROUND(G1174*I1174*100/M1174,4)</f>
        <v>3.4027</v>
      </c>
      <c r="R1174" s="165" t="s">
        <v>562</v>
      </c>
      <c r="S1174" s="833"/>
    </row>
    <row r="1175" spans="1:19" ht="21" customHeight="1">
      <c r="A1175" s="157"/>
      <c r="B1175" s="157"/>
      <c r="C1175" s="176">
        <v>200000000</v>
      </c>
      <c r="D1175" s="166">
        <v>24</v>
      </c>
      <c r="E1175" s="198" t="s">
        <v>821</v>
      </c>
      <c r="F1175" s="157" t="s">
        <v>789</v>
      </c>
      <c r="G1175" s="172">
        <f>D1171</f>
        <v>232000</v>
      </c>
      <c r="H1175" s="165" t="s">
        <v>787</v>
      </c>
      <c r="I1175" s="165">
        <f>D1175</f>
        <v>24</v>
      </c>
      <c r="J1175" s="157" t="s">
        <v>248</v>
      </c>
      <c r="K1175" s="157"/>
      <c r="L1175" s="157" t="s">
        <v>783</v>
      </c>
      <c r="M1175" s="172">
        <f>C1175</f>
        <v>200000000</v>
      </c>
      <c r="N1175" s="157"/>
      <c r="O1175" s="157" t="s">
        <v>784</v>
      </c>
      <c r="P1175" s="157"/>
      <c r="Q1175" s="199">
        <f>ROUND(G1175*I1175*100/M1175,4)</f>
        <v>2.784</v>
      </c>
      <c r="R1175" s="165" t="s">
        <v>562</v>
      </c>
      <c r="S1175" s="833"/>
    </row>
    <row r="1176" spans="1:19" ht="21" customHeight="1">
      <c r="A1176" s="157"/>
      <c r="B1176" s="157"/>
      <c r="C1176" s="176">
        <v>250000000</v>
      </c>
      <c r="D1176" s="166">
        <v>28</v>
      </c>
      <c r="E1176" s="198" t="s">
        <v>821</v>
      </c>
      <c r="F1176" s="157" t="s">
        <v>789</v>
      </c>
      <c r="G1176" s="172">
        <f>D1171</f>
        <v>232000</v>
      </c>
      <c r="H1176" s="165" t="s">
        <v>787</v>
      </c>
      <c r="I1176" s="165">
        <f>D1176</f>
        <v>28</v>
      </c>
      <c r="J1176" s="157" t="s">
        <v>248</v>
      </c>
      <c r="K1176" s="157"/>
      <c r="L1176" s="157" t="s">
        <v>783</v>
      </c>
      <c r="M1176" s="172">
        <f>C1176</f>
        <v>250000000</v>
      </c>
      <c r="N1176" s="157"/>
      <c r="O1176" s="157" t="s">
        <v>784</v>
      </c>
      <c r="P1176" s="157"/>
      <c r="Q1176" s="199">
        <f>ROUND(G1176*I1176*100/M1176,4)</f>
        <v>2.5984</v>
      </c>
      <c r="R1176" s="165" t="s">
        <v>562</v>
      </c>
      <c r="S1176" s="833"/>
    </row>
    <row r="1177" spans="1:19" ht="21" customHeight="1">
      <c r="A1177" s="157"/>
      <c r="B1177" s="157"/>
      <c r="C1177" s="176">
        <v>300000000</v>
      </c>
      <c r="D1177" s="166">
        <v>30</v>
      </c>
      <c r="E1177" s="198" t="s">
        <v>821</v>
      </c>
      <c r="F1177" s="157" t="s">
        <v>789</v>
      </c>
      <c r="G1177" s="172">
        <f>D1171</f>
        <v>232000</v>
      </c>
      <c r="H1177" s="165" t="s">
        <v>787</v>
      </c>
      <c r="I1177" s="165">
        <f>D1177</f>
        <v>30</v>
      </c>
      <c r="J1177" s="157" t="s">
        <v>248</v>
      </c>
      <c r="K1177" s="157"/>
      <c r="L1177" s="157" t="s">
        <v>783</v>
      </c>
      <c r="M1177" s="172">
        <f>C1177</f>
        <v>300000000</v>
      </c>
      <c r="N1177" s="157"/>
      <c r="O1177" s="157" t="s">
        <v>784</v>
      </c>
      <c r="P1177" s="157"/>
      <c r="Q1177" s="199">
        <f>ROUND(G1177*I1177*100/M1177,4)</f>
        <v>2.32</v>
      </c>
      <c r="R1177" s="165" t="s">
        <v>562</v>
      </c>
      <c r="S1177" s="833"/>
    </row>
    <row r="1178" spans="1:19" ht="21" customHeight="1">
      <c r="A1178" s="157"/>
      <c r="B1178" s="157"/>
      <c r="C1178" s="157"/>
      <c r="D1178" s="157"/>
      <c r="E1178" s="157"/>
      <c r="F1178" s="157"/>
      <c r="G1178" s="157"/>
      <c r="H1178" s="157"/>
      <c r="I1178" s="157"/>
      <c r="J1178" s="157"/>
      <c r="K1178" s="157"/>
      <c r="L1178" s="157"/>
      <c r="M1178" s="200" t="s">
        <v>823</v>
      </c>
      <c r="N1178" s="157"/>
      <c r="O1178" s="157" t="s">
        <v>784</v>
      </c>
      <c r="P1178" s="157"/>
      <c r="Q1178" s="201">
        <f>ROUND((+Q1173+Q1174+Q1175+Q1176+Q1177)/5,4)</f>
        <v>3.149</v>
      </c>
      <c r="R1178" s="157"/>
      <c r="S1178" s="833"/>
    </row>
    <row r="1179" spans="1:19" ht="21" customHeight="1">
      <c r="A1179" s="157"/>
      <c r="B1179" s="157" t="s">
        <v>434</v>
      </c>
      <c r="C1179" s="210" t="s">
        <v>435</v>
      </c>
      <c r="D1179" s="157"/>
      <c r="E1179" s="157"/>
      <c r="F1179" s="157"/>
      <c r="G1179" s="157"/>
      <c r="H1179" s="157"/>
      <c r="I1179" s="157"/>
      <c r="J1179" s="157"/>
      <c r="K1179" s="157"/>
      <c r="L1179" s="157"/>
      <c r="M1179" s="157"/>
      <c r="N1179" s="157"/>
      <c r="O1179" s="157"/>
      <c r="P1179" s="157"/>
      <c r="Q1179" s="157"/>
      <c r="R1179" s="157"/>
      <c r="S1179" s="833"/>
    </row>
    <row r="1180" spans="1:19" ht="21" customHeight="1">
      <c r="A1180" s="157"/>
      <c r="B1180" s="157"/>
      <c r="C1180" s="157" t="s">
        <v>436</v>
      </c>
      <c r="D1180" s="157"/>
      <c r="E1180" s="157"/>
      <c r="F1180" s="157"/>
      <c r="G1180" s="157"/>
      <c r="H1180" s="157"/>
      <c r="I1180" s="157"/>
      <c r="J1180" s="157"/>
      <c r="K1180" s="157"/>
      <c r="L1180" s="157"/>
      <c r="M1180" s="157"/>
      <c r="N1180" s="157"/>
      <c r="O1180" s="157"/>
      <c r="P1180" s="157"/>
      <c r="Q1180" s="157"/>
      <c r="R1180" s="157"/>
      <c r="S1180" s="833"/>
    </row>
    <row r="1181" spans="1:19" ht="21" customHeight="1">
      <c r="A1181" s="157"/>
      <c r="B1181" s="157"/>
      <c r="C1181" s="157" t="s">
        <v>416</v>
      </c>
      <c r="D1181" s="166">
        <v>60000</v>
      </c>
      <c r="E1181" s="157" t="s">
        <v>247</v>
      </c>
      <c r="F1181" s="157"/>
      <c r="G1181" s="157"/>
      <c r="H1181" s="157"/>
      <c r="I1181" s="157"/>
      <c r="J1181" s="157"/>
      <c r="K1181" s="157"/>
      <c r="L1181" s="157"/>
      <c r="M1181" s="157"/>
      <c r="N1181" s="157"/>
      <c r="O1181" s="157"/>
      <c r="P1181" s="157"/>
      <c r="Q1181" s="157"/>
      <c r="R1181" s="157"/>
      <c r="S1181" s="833"/>
    </row>
    <row r="1182" spans="1:19" ht="21" customHeight="1">
      <c r="A1182" s="157"/>
      <c r="B1182" s="157"/>
      <c r="C1182" s="325" t="s">
        <v>437</v>
      </c>
      <c r="D1182" s="166">
        <v>40000</v>
      </c>
      <c r="E1182" s="157" t="s">
        <v>247</v>
      </c>
      <c r="F1182" s="157"/>
      <c r="G1182" s="157"/>
      <c r="H1182" s="157"/>
      <c r="I1182" s="157"/>
      <c r="J1182" s="157"/>
      <c r="K1182" s="157"/>
      <c r="L1182" s="157"/>
      <c r="M1182" s="157"/>
      <c r="N1182" s="157"/>
      <c r="O1182" s="157"/>
      <c r="P1182" s="157"/>
      <c r="Q1182" s="157"/>
      <c r="R1182" s="157"/>
      <c r="S1182" s="833"/>
    </row>
    <row r="1183" spans="1:19" ht="21" customHeight="1">
      <c r="A1183" s="157"/>
      <c r="B1183" s="157"/>
      <c r="C1183" s="157" t="s">
        <v>429</v>
      </c>
      <c r="D1183" s="166">
        <v>90000</v>
      </c>
      <c r="E1183" s="157" t="s">
        <v>247</v>
      </c>
      <c r="F1183" s="157"/>
      <c r="G1183" s="157"/>
      <c r="H1183" s="157"/>
      <c r="I1183" s="157"/>
      <c r="J1183" s="157"/>
      <c r="K1183" s="157"/>
      <c r="L1183" s="157"/>
      <c r="M1183" s="157"/>
      <c r="N1183" s="157"/>
      <c r="O1183" s="157"/>
      <c r="P1183" s="157"/>
      <c r="Q1183" s="157"/>
      <c r="R1183" s="157"/>
      <c r="S1183" s="833"/>
    </row>
    <row r="1184" spans="1:19" ht="21" customHeight="1">
      <c r="A1184" s="157"/>
      <c r="B1184" s="157"/>
      <c r="C1184" s="157" t="s">
        <v>438</v>
      </c>
      <c r="D1184" s="166">
        <v>40000</v>
      </c>
      <c r="E1184" s="157" t="s">
        <v>247</v>
      </c>
      <c r="F1184" s="157"/>
      <c r="G1184" s="157"/>
      <c r="H1184" s="157"/>
      <c r="I1184" s="157"/>
      <c r="J1184" s="157"/>
      <c r="K1184" s="157"/>
      <c r="L1184" s="157"/>
      <c r="M1184" s="157"/>
      <c r="N1184" s="157"/>
      <c r="O1184" s="157"/>
      <c r="P1184" s="157"/>
      <c r="Q1184" s="157"/>
      <c r="R1184" s="157"/>
      <c r="S1184" s="833"/>
    </row>
    <row r="1185" spans="1:19" ht="21" customHeight="1">
      <c r="A1185" s="157"/>
      <c r="B1185" s="157"/>
      <c r="C1185" s="157" t="s">
        <v>430</v>
      </c>
      <c r="D1185" s="166">
        <v>36000</v>
      </c>
      <c r="E1185" s="157" t="s">
        <v>247</v>
      </c>
      <c r="F1185" s="157"/>
      <c r="G1185" s="157"/>
      <c r="H1185" s="157"/>
      <c r="I1185" s="157"/>
      <c r="J1185" s="157"/>
      <c r="K1185" s="157"/>
      <c r="L1185" s="157"/>
      <c r="M1185" s="157"/>
      <c r="N1185" s="157"/>
      <c r="O1185" s="157"/>
      <c r="P1185" s="157"/>
      <c r="Q1185" s="157"/>
      <c r="R1185" s="157"/>
      <c r="S1185" s="833"/>
    </row>
    <row r="1186" spans="1:19" ht="21" customHeight="1">
      <c r="A1186" s="157"/>
      <c r="B1186" s="157"/>
      <c r="C1186" s="157" t="s">
        <v>439</v>
      </c>
      <c r="D1186" s="166">
        <v>24000</v>
      </c>
      <c r="E1186" s="157" t="s">
        <v>247</v>
      </c>
      <c r="F1186" s="157"/>
      <c r="G1186" s="157"/>
      <c r="H1186" s="157"/>
      <c r="I1186" s="157"/>
      <c r="J1186" s="157"/>
      <c r="K1186" s="157"/>
      <c r="L1186" s="157"/>
      <c r="M1186" s="157"/>
      <c r="N1186" s="157"/>
      <c r="O1186" s="157"/>
      <c r="P1186" s="157"/>
      <c r="Q1186" s="157"/>
      <c r="R1186" s="157"/>
      <c r="S1186" s="833"/>
    </row>
    <row r="1187" spans="1:19" ht="21" customHeight="1">
      <c r="A1187" s="157"/>
      <c r="B1187" s="157"/>
      <c r="C1187" s="157" t="s">
        <v>440</v>
      </c>
      <c r="D1187" s="166">
        <v>36000</v>
      </c>
      <c r="E1187" s="157" t="s">
        <v>247</v>
      </c>
      <c r="F1187" s="157"/>
      <c r="G1187" s="157"/>
      <c r="H1187" s="157"/>
      <c r="I1187" s="157"/>
      <c r="J1187" s="157"/>
      <c r="K1187" s="157"/>
      <c r="L1187" s="157"/>
      <c r="M1187" s="157"/>
      <c r="N1187" s="157"/>
      <c r="O1187" s="157"/>
      <c r="P1187" s="157"/>
      <c r="Q1187" s="157"/>
      <c r="R1187" s="157"/>
      <c r="S1187" s="833"/>
    </row>
    <row r="1188" spans="1:19" ht="21" customHeight="1">
      <c r="A1188" s="835" t="s">
        <v>441</v>
      </c>
      <c r="B1188" s="835"/>
      <c r="C1188" s="835"/>
      <c r="D1188" s="835"/>
      <c r="E1188" s="835"/>
      <c r="F1188" s="835"/>
      <c r="G1188" s="835"/>
      <c r="H1188" s="835"/>
      <c r="I1188" s="835"/>
      <c r="J1188" s="835"/>
      <c r="K1188" s="835"/>
      <c r="L1188" s="835"/>
      <c r="M1188" s="835"/>
      <c r="N1188" s="835"/>
      <c r="O1188" s="835"/>
      <c r="P1188" s="835"/>
      <c r="Q1188" s="835"/>
      <c r="R1188" s="835"/>
      <c r="S1188" s="833"/>
    </row>
    <row r="1189" spans="1:19" ht="21" customHeight="1">
      <c r="A1189" s="157"/>
      <c r="B1189" s="157"/>
      <c r="C1189" s="157"/>
      <c r="D1189" s="157"/>
      <c r="E1189" s="157"/>
      <c r="F1189" s="157"/>
      <c r="G1189" s="157"/>
      <c r="H1189" s="157"/>
      <c r="I1189" s="157"/>
      <c r="J1189" s="157"/>
      <c r="K1189" s="157"/>
      <c r="L1189" s="157"/>
      <c r="M1189" s="157"/>
      <c r="N1189" s="157"/>
      <c r="O1189" s="157"/>
      <c r="P1189" s="157"/>
      <c r="Q1189" s="157"/>
      <c r="R1189" s="157"/>
      <c r="S1189" s="832" t="s">
        <v>442</v>
      </c>
    </row>
    <row r="1190" spans="1:19" ht="21" customHeight="1">
      <c r="A1190" s="157"/>
      <c r="B1190" s="157"/>
      <c r="C1190" s="157" t="s">
        <v>443</v>
      </c>
      <c r="D1190" s="166">
        <v>24000</v>
      </c>
      <c r="E1190" s="157" t="s">
        <v>247</v>
      </c>
      <c r="F1190" s="157"/>
      <c r="G1190" s="157"/>
      <c r="H1190" s="157"/>
      <c r="I1190" s="157"/>
      <c r="J1190" s="157"/>
      <c r="K1190" s="157"/>
      <c r="L1190" s="157"/>
      <c r="M1190" s="157"/>
      <c r="N1190" s="157"/>
      <c r="O1190" s="157"/>
      <c r="P1190" s="157"/>
      <c r="Q1190" s="157"/>
      <c r="R1190" s="157"/>
      <c r="S1190" s="833"/>
    </row>
    <row r="1191" spans="1:19" ht="21" customHeight="1">
      <c r="A1191" s="157"/>
      <c r="B1191" s="157"/>
      <c r="C1191" s="157" t="s">
        <v>403</v>
      </c>
      <c r="D1191" s="321">
        <f>D1181+D1182+D1183+D1184+D1185+D1186+D1187++D1190</f>
        <v>350000</v>
      </c>
      <c r="E1191" s="157" t="s">
        <v>247</v>
      </c>
      <c r="F1191" s="157"/>
      <c r="G1191" s="157"/>
      <c r="H1191" s="157"/>
      <c r="I1191" s="157"/>
      <c r="J1191" s="157"/>
      <c r="K1191" s="157"/>
      <c r="L1191" s="157"/>
      <c r="M1191" s="157"/>
      <c r="N1191" s="157"/>
      <c r="O1191" s="157"/>
      <c r="P1191" s="157"/>
      <c r="Q1191" s="157"/>
      <c r="R1191" s="157"/>
      <c r="S1191" s="833"/>
    </row>
    <row r="1192" spans="1:19" ht="21" customHeight="1">
      <c r="A1192" s="157"/>
      <c r="B1192" s="157" t="s">
        <v>562</v>
      </c>
      <c r="C1192" s="165" t="s">
        <v>463</v>
      </c>
      <c r="D1192" s="165" t="s">
        <v>478</v>
      </c>
      <c r="E1192" s="165"/>
      <c r="F1192" s="157"/>
      <c r="G1192" s="836" t="s">
        <v>778</v>
      </c>
      <c r="H1192" s="836"/>
      <c r="I1192" s="836"/>
      <c r="J1192" s="836"/>
      <c r="K1192" s="836"/>
      <c r="L1192" s="836"/>
      <c r="M1192" s="836"/>
      <c r="N1192" s="836"/>
      <c r="O1192" s="836"/>
      <c r="P1192" s="836"/>
      <c r="Q1192" s="836"/>
      <c r="R1192" s="836"/>
      <c r="S1192" s="833"/>
    </row>
    <row r="1193" spans="1:19" ht="21" customHeight="1">
      <c r="A1193" s="157"/>
      <c r="B1193" s="175" t="s">
        <v>788</v>
      </c>
      <c r="C1193" s="176">
        <v>300000001</v>
      </c>
      <c r="D1193" s="166">
        <v>30</v>
      </c>
      <c r="E1193" s="198" t="s">
        <v>821</v>
      </c>
      <c r="F1193" s="157" t="s">
        <v>789</v>
      </c>
      <c r="G1193" s="172">
        <f>D1191</f>
        <v>350000</v>
      </c>
      <c r="H1193" s="165" t="s">
        <v>787</v>
      </c>
      <c r="I1193" s="165">
        <f>D1193</f>
        <v>30</v>
      </c>
      <c r="J1193" s="157" t="s">
        <v>248</v>
      </c>
      <c r="K1193" s="157"/>
      <c r="L1193" s="157" t="s">
        <v>783</v>
      </c>
      <c r="M1193" s="172">
        <f>C1193</f>
        <v>300000001</v>
      </c>
      <c r="N1193" s="157"/>
      <c r="O1193" s="157" t="s">
        <v>784</v>
      </c>
      <c r="P1193" s="157"/>
      <c r="Q1193" s="199">
        <f>ROUND(G1193*I1193*100/M1193,4)</f>
        <v>3.5</v>
      </c>
      <c r="R1193" s="165" t="s">
        <v>562</v>
      </c>
      <c r="S1193" s="833"/>
    </row>
    <row r="1194" spans="1:19" ht="21" customHeight="1">
      <c r="A1194" s="157"/>
      <c r="B1194" s="157"/>
      <c r="C1194" s="176">
        <v>350000000</v>
      </c>
      <c r="D1194" s="166">
        <v>32</v>
      </c>
      <c r="E1194" s="198" t="s">
        <v>821</v>
      </c>
      <c r="F1194" s="157" t="s">
        <v>789</v>
      </c>
      <c r="G1194" s="172">
        <f>D1191</f>
        <v>350000</v>
      </c>
      <c r="H1194" s="165" t="s">
        <v>787</v>
      </c>
      <c r="I1194" s="165">
        <f>D1194</f>
        <v>32</v>
      </c>
      <c r="J1194" s="157" t="s">
        <v>248</v>
      </c>
      <c r="K1194" s="157"/>
      <c r="L1194" s="157" t="s">
        <v>783</v>
      </c>
      <c r="M1194" s="172">
        <f>C1194</f>
        <v>350000000</v>
      </c>
      <c r="N1194" s="157"/>
      <c r="O1194" s="157" t="s">
        <v>784</v>
      </c>
      <c r="P1194" s="157"/>
      <c r="Q1194" s="199">
        <f>ROUND(G1194*I1194*100/M1194,4)</f>
        <v>3.2</v>
      </c>
      <c r="R1194" s="165" t="s">
        <v>562</v>
      </c>
      <c r="S1194" s="833"/>
    </row>
    <row r="1195" spans="1:19" ht="21" customHeight="1">
      <c r="A1195" s="157"/>
      <c r="B1195" s="157"/>
      <c r="C1195" s="176">
        <v>400000000</v>
      </c>
      <c r="D1195" s="166">
        <v>36</v>
      </c>
      <c r="E1195" s="198" t="s">
        <v>821</v>
      </c>
      <c r="F1195" s="157" t="s">
        <v>789</v>
      </c>
      <c r="G1195" s="172">
        <f>D1191</f>
        <v>350000</v>
      </c>
      <c r="H1195" s="165" t="s">
        <v>787</v>
      </c>
      <c r="I1195" s="165">
        <f>D1195</f>
        <v>36</v>
      </c>
      <c r="J1195" s="157" t="s">
        <v>248</v>
      </c>
      <c r="K1195" s="157"/>
      <c r="L1195" s="157" t="s">
        <v>783</v>
      </c>
      <c r="M1195" s="172">
        <f>C1195</f>
        <v>400000000</v>
      </c>
      <c r="N1195" s="157"/>
      <c r="O1195" s="157" t="s">
        <v>784</v>
      </c>
      <c r="P1195" s="157"/>
      <c r="Q1195" s="199">
        <f>ROUND(G1195*I1195*100/M1195,4)</f>
        <v>3.15</v>
      </c>
      <c r="R1195" s="165" t="s">
        <v>562</v>
      </c>
      <c r="S1195" s="833"/>
    </row>
    <row r="1196" spans="1:19" ht="21" customHeight="1">
      <c r="A1196" s="157"/>
      <c r="B1196" s="157"/>
      <c r="C1196" s="176">
        <v>500000000</v>
      </c>
      <c r="D1196" s="166">
        <v>36</v>
      </c>
      <c r="E1196" s="198" t="s">
        <v>821</v>
      </c>
      <c r="F1196" s="157" t="s">
        <v>789</v>
      </c>
      <c r="G1196" s="172">
        <f>D1191</f>
        <v>350000</v>
      </c>
      <c r="H1196" s="165" t="s">
        <v>787</v>
      </c>
      <c r="I1196" s="165">
        <f>D1196</f>
        <v>36</v>
      </c>
      <c r="J1196" s="157" t="s">
        <v>248</v>
      </c>
      <c r="K1196" s="157"/>
      <c r="L1196" s="157" t="s">
        <v>783</v>
      </c>
      <c r="M1196" s="172">
        <f>C1196</f>
        <v>500000000</v>
      </c>
      <c r="N1196" s="157"/>
      <c r="O1196" s="157" t="s">
        <v>784</v>
      </c>
      <c r="P1196" s="157"/>
      <c r="Q1196" s="199">
        <f>ROUND(G1196*I1196*100/M1196,4)</f>
        <v>2.52</v>
      </c>
      <c r="R1196" s="165" t="s">
        <v>562</v>
      </c>
      <c r="S1196" s="833"/>
    </row>
    <row r="1197" spans="1:19" ht="21" customHeight="1">
      <c r="A1197" s="157"/>
      <c r="B1197" s="157"/>
      <c r="C1197" s="157"/>
      <c r="D1197" s="157"/>
      <c r="E1197" s="157"/>
      <c r="F1197" s="157"/>
      <c r="G1197" s="157"/>
      <c r="H1197" s="157"/>
      <c r="I1197" s="157"/>
      <c r="J1197" s="157"/>
      <c r="K1197" s="157"/>
      <c r="L1197" s="157"/>
      <c r="M1197" s="200" t="s">
        <v>823</v>
      </c>
      <c r="N1197" s="157"/>
      <c r="O1197" s="157" t="s">
        <v>784</v>
      </c>
      <c r="P1197" s="157"/>
      <c r="Q1197" s="201">
        <f>ROUND((Q1193+Q1194+Q1195+Q1196)/4,4)</f>
        <v>3.0925</v>
      </c>
      <c r="R1197" s="157"/>
      <c r="S1197" s="833"/>
    </row>
    <row r="1198" spans="1:19" ht="21" customHeight="1">
      <c r="A1198" s="157"/>
      <c r="B1198" s="157" t="s">
        <v>444</v>
      </c>
      <c r="C1198" s="210" t="s">
        <v>445</v>
      </c>
      <c r="D1198" s="157"/>
      <c r="E1198" s="157"/>
      <c r="F1198" s="157"/>
      <c r="G1198" s="157"/>
      <c r="H1198" s="157"/>
      <c r="I1198" s="157"/>
      <c r="J1198" s="157"/>
      <c r="K1198" s="157"/>
      <c r="L1198" s="157"/>
      <c r="M1198" s="157"/>
      <c r="N1198" s="157"/>
      <c r="O1198" s="157"/>
      <c r="P1198" s="157"/>
      <c r="Q1198" s="157"/>
      <c r="R1198" s="157"/>
      <c r="S1198" s="833"/>
    </row>
    <row r="1199" spans="1:19" ht="21" customHeight="1">
      <c r="A1199" s="157"/>
      <c r="B1199" s="157"/>
      <c r="C1199" s="157" t="s">
        <v>446</v>
      </c>
      <c r="D1199" s="157"/>
      <c r="E1199" s="157"/>
      <c r="F1199" s="157"/>
      <c r="G1199" s="157"/>
      <c r="H1199" s="157"/>
      <c r="I1199" s="157"/>
      <c r="J1199" s="157"/>
      <c r="K1199" s="157"/>
      <c r="L1199" s="157"/>
      <c r="M1199" s="157"/>
      <c r="N1199" s="157"/>
      <c r="O1199" s="157"/>
      <c r="P1199" s="157"/>
      <c r="Q1199" s="157"/>
      <c r="R1199" s="157"/>
      <c r="S1199" s="833"/>
    </row>
    <row r="1200" spans="1:19" ht="21" customHeight="1">
      <c r="A1200" s="157"/>
      <c r="B1200" s="157"/>
      <c r="C1200" s="157" t="s">
        <v>416</v>
      </c>
      <c r="D1200" s="166">
        <v>70000</v>
      </c>
      <c r="E1200" s="157" t="s">
        <v>247</v>
      </c>
      <c r="F1200" s="157"/>
      <c r="G1200" s="157"/>
      <c r="H1200" s="157"/>
      <c r="I1200" s="157"/>
      <c r="J1200" s="157"/>
      <c r="K1200" s="157"/>
      <c r="L1200" s="157"/>
      <c r="M1200" s="157"/>
      <c r="N1200" s="157"/>
      <c r="O1200" s="157"/>
      <c r="P1200" s="157"/>
      <c r="Q1200" s="157"/>
      <c r="R1200" s="157"/>
      <c r="S1200" s="833"/>
    </row>
    <row r="1201" spans="1:19" ht="21" customHeight="1">
      <c r="A1201" s="157"/>
      <c r="B1201" s="157"/>
      <c r="C1201" s="325" t="s">
        <v>447</v>
      </c>
      <c r="D1201" s="166">
        <v>50000</v>
      </c>
      <c r="E1201" s="157" t="s">
        <v>247</v>
      </c>
      <c r="F1201" s="157"/>
      <c r="G1201" s="157"/>
      <c r="H1201" s="157"/>
      <c r="I1201" s="157"/>
      <c r="J1201" s="157"/>
      <c r="K1201" s="157"/>
      <c r="L1201" s="157"/>
      <c r="M1201" s="157"/>
      <c r="N1201" s="157"/>
      <c r="O1201" s="157"/>
      <c r="P1201" s="157"/>
      <c r="Q1201" s="157"/>
      <c r="R1201" s="157"/>
      <c r="S1201" s="833"/>
    </row>
    <row r="1202" spans="1:19" ht="21" customHeight="1">
      <c r="A1202" s="157"/>
      <c r="B1202" s="157"/>
      <c r="C1202" s="157" t="s">
        <v>448</v>
      </c>
      <c r="D1202" s="166">
        <v>120000</v>
      </c>
      <c r="E1202" s="157" t="s">
        <v>247</v>
      </c>
      <c r="F1202" s="157"/>
      <c r="G1202" s="157"/>
      <c r="H1202" s="157"/>
      <c r="I1202" s="157"/>
      <c r="J1202" s="157"/>
      <c r="K1202" s="157"/>
      <c r="L1202" s="157"/>
      <c r="M1202" s="157"/>
      <c r="N1202" s="157"/>
      <c r="O1202" s="157"/>
      <c r="P1202" s="157"/>
      <c r="Q1202" s="157"/>
      <c r="R1202" s="157"/>
      <c r="S1202" s="833"/>
    </row>
    <row r="1203" spans="1:19" ht="21" customHeight="1">
      <c r="A1203" s="157"/>
      <c r="B1203" s="157"/>
      <c r="C1203" s="157" t="s">
        <v>438</v>
      </c>
      <c r="D1203" s="166">
        <v>50000</v>
      </c>
      <c r="E1203" s="157" t="s">
        <v>247</v>
      </c>
      <c r="F1203" s="157"/>
      <c r="G1203" s="157"/>
      <c r="H1203" s="157"/>
      <c r="I1203" s="157"/>
      <c r="J1203" s="157"/>
      <c r="K1203" s="157"/>
      <c r="L1203" s="157"/>
      <c r="M1203" s="157"/>
      <c r="N1203" s="157"/>
      <c r="O1203" s="157"/>
      <c r="P1203" s="157"/>
      <c r="Q1203" s="157"/>
      <c r="R1203" s="157"/>
      <c r="S1203" s="833"/>
    </row>
    <row r="1204" spans="1:19" ht="21" customHeight="1">
      <c r="A1204" s="157"/>
      <c r="B1204" s="157"/>
      <c r="C1204" s="157" t="s">
        <v>449</v>
      </c>
      <c r="D1204" s="166">
        <v>60000</v>
      </c>
      <c r="E1204" s="157" t="s">
        <v>247</v>
      </c>
      <c r="F1204" s="157"/>
      <c r="G1204" s="157"/>
      <c r="H1204" s="157"/>
      <c r="I1204" s="157"/>
      <c r="J1204" s="157"/>
      <c r="K1204" s="157"/>
      <c r="L1204" s="157"/>
      <c r="M1204" s="157"/>
      <c r="N1204" s="157"/>
      <c r="O1204" s="157"/>
      <c r="P1204" s="157"/>
      <c r="Q1204" s="157"/>
      <c r="R1204" s="157"/>
      <c r="S1204" s="833"/>
    </row>
    <row r="1205" spans="1:19" ht="21" customHeight="1">
      <c r="A1205" s="157"/>
      <c r="B1205" s="157"/>
      <c r="C1205" s="157" t="s">
        <v>439</v>
      </c>
      <c r="D1205" s="166">
        <v>24000</v>
      </c>
      <c r="E1205" s="157" t="s">
        <v>247</v>
      </c>
      <c r="F1205" s="157"/>
      <c r="G1205" s="157"/>
      <c r="H1205" s="157"/>
      <c r="I1205" s="157"/>
      <c r="J1205" s="157"/>
      <c r="K1205" s="157"/>
      <c r="L1205" s="157"/>
      <c r="M1205" s="157"/>
      <c r="N1205" s="157"/>
      <c r="O1205" s="157"/>
      <c r="P1205" s="157"/>
      <c r="Q1205" s="157"/>
      <c r="R1205" s="157"/>
      <c r="S1205" s="833"/>
    </row>
    <row r="1206" spans="1:19" ht="21" customHeight="1">
      <c r="A1206" s="157"/>
      <c r="B1206" s="157"/>
      <c r="C1206" s="157" t="s">
        <v>440</v>
      </c>
      <c r="D1206" s="166">
        <v>36000</v>
      </c>
      <c r="E1206" s="157" t="s">
        <v>247</v>
      </c>
      <c r="F1206" s="157"/>
      <c r="G1206" s="157"/>
      <c r="H1206" s="157"/>
      <c r="I1206" s="157"/>
      <c r="J1206" s="157"/>
      <c r="K1206" s="157"/>
      <c r="L1206" s="157"/>
      <c r="M1206" s="157"/>
      <c r="N1206" s="157"/>
      <c r="O1206" s="157"/>
      <c r="P1206" s="157"/>
      <c r="Q1206" s="157"/>
      <c r="R1206" s="157"/>
      <c r="S1206" s="833"/>
    </row>
    <row r="1207" spans="1:19" ht="21" customHeight="1">
      <c r="A1207" s="157"/>
      <c r="B1207" s="157"/>
      <c r="C1207" s="157" t="s">
        <v>443</v>
      </c>
      <c r="D1207" s="166">
        <v>24000</v>
      </c>
      <c r="E1207" s="157" t="s">
        <v>247</v>
      </c>
      <c r="F1207" s="157"/>
      <c r="G1207" s="157"/>
      <c r="H1207" s="157"/>
      <c r="I1207" s="157"/>
      <c r="J1207" s="157"/>
      <c r="K1207" s="157"/>
      <c r="L1207" s="157"/>
      <c r="M1207" s="157"/>
      <c r="N1207" s="157"/>
      <c r="O1207" s="157"/>
      <c r="P1207" s="157"/>
      <c r="Q1207" s="157"/>
      <c r="R1207" s="157"/>
      <c r="S1207" s="833"/>
    </row>
    <row r="1208" spans="1:19" ht="21" customHeight="1">
      <c r="A1208" s="157"/>
      <c r="B1208" s="157"/>
      <c r="C1208" s="325" t="s">
        <v>450</v>
      </c>
      <c r="D1208" s="166">
        <v>20000</v>
      </c>
      <c r="E1208" s="157" t="s">
        <v>247</v>
      </c>
      <c r="F1208" s="157"/>
      <c r="G1208" s="157"/>
      <c r="H1208" s="157"/>
      <c r="I1208" s="157"/>
      <c r="J1208" s="157"/>
      <c r="K1208" s="157"/>
      <c r="L1208" s="157"/>
      <c r="M1208" s="157"/>
      <c r="N1208" s="157"/>
      <c r="O1208" s="157"/>
      <c r="P1208" s="157"/>
      <c r="Q1208" s="157"/>
      <c r="R1208" s="157"/>
      <c r="S1208" s="833"/>
    </row>
    <row r="1209" spans="1:19" ht="21" customHeight="1">
      <c r="A1209" s="157"/>
      <c r="B1209" s="157"/>
      <c r="C1209" s="157" t="s">
        <v>403</v>
      </c>
      <c r="D1209" s="321">
        <f>D1200+D1201+D1202+D1203+D1204+D1205+D1206+D1207+D1208</f>
        <v>454000</v>
      </c>
      <c r="E1209" s="157" t="s">
        <v>247</v>
      </c>
      <c r="F1209" s="157"/>
      <c r="G1209" s="157"/>
      <c r="H1209" s="157"/>
      <c r="I1209" s="157"/>
      <c r="J1209" s="157"/>
      <c r="K1209" s="157"/>
      <c r="L1209" s="157"/>
      <c r="M1209" s="157"/>
      <c r="N1209" s="157"/>
      <c r="O1209" s="157"/>
      <c r="P1209" s="157"/>
      <c r="Q1209" s="157"/>
      <c r="R1209" s="157"/>
      <c r="S1209" s="833"/>
    </row>
    <row r="1210" spans="1:19" ht="21" customHeight="1">
      <c r="A1210" s="157"/>
      <c r="B1210" s="157" t="s">
        <v>562</v>
      </c>
      <c r="C1210" s="165" t="s">
        <v>463</v>
      </c>
      <c r="D1210" s="165" t="s">
        <v>478</v>
      </c>
      <c r="E1210" s="165"/>
      <c r="F1210" s="157"/>
      <c r="G1210" s="836" t="s">
        <v>778</v>
      </c>
      <c r="H1210" s="836"/>
      <c r="I1210" s="836"/>
      <c r="J1210" s="836"/>
      <c r="K1210" s="836"/>
      <c r="L1210" s="836"/>
      <c r="M1210" s="836"/>
      <c r="N1210" s="836"/>
      <c r="O1210" s="836"/>
      <c r="P1210" s="836"/>
      <c r="Q1210" s="836"/>
      <c r="R1210" s="836"/>
      <c r="S1210" s="833"/>
    </row>
    <row r="1211" spans="1:19" ht="21" customHeight="1">
      <c r="A1211" s="157"/>
      <c r="B1211" s="175" t="s">
        <v>788</v>
      </c>
      <c r="C1211" s="176">
        <v>500000001</v>
      </c>
      <c r="D1211" s="166">
        <v>36</v>
      </c>
      <c r="E1211" s="198" t="s">
        <v>821</v>
      </c>
      <c r="F1211" s="157" t="s">
        <v>789</v>
      </c>
      <c r="G1211" s="172">
        <f>D1209</f>
        <v>454000</v>
      </c>
      <c r="H1211" s="165" t="s">
        <v>787</v>
      </c>
      <c r="I1211" s="165">
        <f>D1211</f>
        <v>36</v>
      </c>
      <c r="J1211" s="157" t="s">
        <v>248</v>
      </c>
      <c r="K1211" s="157"/>
      <c r="L1211" s="157" t="s">
        <v>783</v>
      </c>
      <c r="M1211" s="172">
        <f>C1211</f>
        <v>500000001</v>
      </c>
      <c r="N1211" s="157"/>
      <c r="O1211" s="157" t="s">
        <v>784</v>
      </c>
      <c r="P1211" s="157"/>
      <c r="Q1211" s="199">
        <f>ROUND(G1211*I1211*100/M1211,4)</f>
        <v>3.2688</v>
      </c>
      <c r="R1211" s="165" t="s">
        <v>562</v>
      </c>
      <c r="S1211" s="833"/>
    </row>
    <row r="1212" spans="1:19" ht="21" customHeight="1">
      <c r="A1212" s="157"/>
      <c r="B1212" s="157"/>
      <c r="C1212" s="176">
        <v>1000000000</v>
      </c>
      <c r="D1212" s="166">
        <v>40</v>
      </c>
      <c r="E1212" s="198" t="s">
        <v>821</v>
      </c>
      <c r="F1212" s="157" t="s">
        <v>789</v>
      </c>
      <c r="G1212" s="172">
        <f>D1209</f>
        <v>454000</v>
      </c>
      <c r="H1212" s="165" t="s">
        <v>787</v>
      </c>
      <c r="I1212" s="165">
        <f>D1212</f>
        <v>40</v>
      </c>
      <c r="J1212" s="157" t="s">
        <v>248</v>
      </c>
      <c r="K1212" s="157"/>
      <c r="L1212" s="157" t="s">
        <v>783</v>
      </c>
      <c r="M1212" s="172">
        <f>C1212</f>
        <v>1000000000</v>
      </c>
      <c r="N1212" s="157"/>
      <c r="O1212" s="157" t="s">
        <v>784</v>
      </c>
      <c r="P1212" s="157"/>
      <c r="Q1212" s="199">
        <f>ROUND(G1212*I1212*100/M1212,4)</f>
        <v>1.816</v>
      </c>
      <c r="R1212" s="165" t="s">
        <v>562</v>
      </c>
      <c r="S1212" s="833"/>
    </row>
    <row r="1213" spans="1:19" ht="21" customHeight="1">
      <c r="A1213" s="157"/>
      <c r="B1213" s="157"/>
      <c r="C1213" s="157"/>
      <c r="D1213" s="157"/>
      <c r="E1213" s="157"/>
      <c r="F1213" s="157"/>
      <c r="G1213" s="157"/>
      <c r="H1213" s="157"/>
      <c r="I1213" s="157"/>
      <c r="J1213" s="157"/>
      <c r="K1213" s="157"/>
      <c r="L1213" s="157"/>
      <c r="M1213" s="200" t="s">
        <v>823</v>
      </c>
      <c r="N1213" s="157"/>
      <c r="O1213" s="157" t="s">
        <v>784</v>
      </c>
      <c r="P1213" s="157"/>
      <c r="Q1213" s="201">
        <f>ROUND((Q1211+Q1212)/2,4)</f>
        <v>2.5424</v>
      </c>
      <c r="R1213" s="157"/>
      <c r="S1213" s="833"/>
    </row>
    <row r="1214" spans="1:19" ht="21" customHeight="1">
      <c r="A1214" s="157"/>
      <c r="B1214" s="157"/>
      <c r="C1214" s="157"/>
      <c r="D1214" s="157"/>
      <c r="E1214" s="157"/>
      <c r="F1214" s="157"/>
      <c r="G1214" s="157"/>
      <c r="H1214" s="157"/>
      <c r="I1214" s="157"/>
      <c r="J1214" s="157"/>
      <c r="K1214" s="157"/>
      <c r="L1214" s="157"/>
      <c r="M1214" s="157"/>
      <c r="N1214" s="157"/>
      <c r="O1214" s="157"/>
      <c r="P1214" s="157"/>
      <c r="Q1214" s="157"/>
      <c r="R1214" s="157"/>
      <c r="S1214" s="833"/>
    </row>
    <row r="1215" spans="1:19" ht="21" customHeight="1">
      <c r="A1215" s="835" t="s">
        <v>451</v>
      </c>
      <c r="B1215" s="835"/>
      <c r="C1215" s="835"/>
      <c r="D1215" s="835"/>
      <c r="E1215" s="835"/>
      <c r="F1215" s="835"/>
      <c r="G1215" s="835"/>
      <c r="H1215" s="835"/>
      <c r="I1215" s="835"/>
      <c r="J1215" s="835"/>
      <c r="K1215" s="835"/>
      <c r="L1215" s="835"/>
      <c r="M1215" s="835"/>
      <c r="N1215" s="835"/>
      <c r="O1215" s="835"/>
      <c r="P1215" s="835"/>
      <c r="Q1215" s="835"/>
      <c r="R1215" s="835"/>
      <c r="S1215" s="833"/>
    </row>
    <row r="1216" spans="1:19" ht="21" customHeight="1">
      <c r="A1216" s="157"/>
      <c r="B1216" s="157"/>
      <c r="C1216" s="157"/>
      <c r="D1216" s="157"/>
      <c r="E1216" s="157"/>
      <c r="F1216" s="157"/>
      <c r="G1216" s="157"/>
      <c r="H1216" s="157"/>
      <c r="I1216" s="157"/>
      <c r="J1216" s="157"/>
      <c r="K1216" s="157"/>
      <c r="L1216" s="157"/>
      <c r="M1216" s="157"/>
      <c r="N1216" s="157"/>
      <c r="O1216" s="157"/>
      <c r="P1216" s="157"/>
      <c r="Q1216" s="157"/>
      <c r="R1216" s="157"/>
      <c r="S1216" s="832" t="s">
        <v>452</v>
      </c>
    </row>
    <row r="1217" spans="1:19" ht="21" customHeight="1">
      <c r="A1217" s="157"/>
      <c r="B1217" s="211" t="s">
        <v>519</v>
      </c>
      <c r="C1217" s="212" t="s">
        <v>453</v>
      </c>
      <c r="D1217" s="157"/>
      <c r="E1217" s="157"/>
      <c r="F1217" s="157"/>
      <c r="G1217" s="157"/>
      <c r="H1217" s="157"/>
      <c r="I1217" s="157"/>
      <c r="J1217" s="157"/>
      <c r="K1217" s="157"/>
      <c r="L1217" s="157"/>
      <c r="M1217" s="157"/>
      <c r="N1217" s="157"/>
      <c r="O1217" s="157"/>
      <c r="P1217" s="157"/>
      <c r="Q1217" s="157"/>
      <c r="R1217" s="157"/>
      <c r="S1217" s="833"/>
    </row>
    <row r="1218" spans="1:19" ht="21" customHeight="1">
      <c r="A1218" s="157"/>
      <c r="B1218" s="204" t="s">
        <v>562</v>
      </c>
      <c r="C1218" s="309" t="s">
        <v>489</v>
      </c>
      <c r="D1218" s="204"/>
      <c r="E1218" s="309" t="s">
        <v>490</v>
      </c>
      <c r="F1218" s="204"/>
      <c r="G1218" s="309" t="s">
        <v>491</v>
      </c>
      <c r="H1218" s="208"/>
      <c r="I1218" s="208"/>
      <c r="J1218" s="204"/>
      <c r="K1218" s="204"/>
      <c r="L1218" s="204"/>
      <c r="M1218" s="204" t="s">
        <v>492</v>
      </c>
      <c r="N1218" s="208"/>
      <c r="O1218" s="208"/>
      <c r="P1218" s="208"/>
      <c r="Q1218" s="208"/>
      <c r="R1218" s="165"/>
      <c r="S1218" s="833"/>
    </row>
    <row r="1219" spans="1:19" ht="21" customHeight="1">
      <c r="A1219" s="157"/>
      <c r="B1219" s="206" t="s">
        <v>788</v>
      </c>
      <c r="C1219" s="207">
        <v>500000</v>
      </c>
      <c r="D1219" s="206" t="s">
        <v>789</v>
      </c>
      <c r="E1219" s="179">
        <f>Q1114</f>
        <v>3.3</v>
      </c>
      <c r="F1219" s="204"/>
      <c r="G1219" s="207">
        <v>70000000</v>
      </c>
      <c r="H1219" s="208"/>
      <c r="I1219" s="204"/>
      <c r="J1219" s="204"/>
      <c r="K1219" s="204"/>
      <c r="L1219" s="208" t="s">
        <v>789</v>
      </c>
      <c r="M1219" s="179">
        <f>Q1160</f>
        <v>3.0471</v>
      </c>
      <c r="N1219" s="208"/>
      <c r="O1219" s="208"/>
      <c r="P1219" s="208"/>
      <c r="Q1219" s="208"/>
      <c r="R1219" s="157"/>
      <c r="S1219" s="833"/>
    </row>
    <row r="1220" spans="1:19" ht="21" customHeight="1">
      <c r="A1220" s="157"/>
      <c r="B1220" s="204"/>
      <c r="C1220" s="207">
        <v>1000000</v>
      </c>
      <c r="D1220" s="206" t="s">
        <v>789</v>
      </c>
      <c r="E1220" s="179">
        <f>Q1114</f>
        <v>3.3</v>
      </c>
      <c r="F1220" s="204"/>
      <c r="G1220" s="207">
        <v>80000000</v>
      </c>
      <c r="H1220" s="208"/>
      <c r="I1220" s="204"/>
      <c r="J1220" s="204"/>
      <c r="K1220" s="204"/>
      <c r="L1220" s="208" t="s">
        <v>789</v>
      </c>
      <c r="M1220" s="179">
        <f>Q1160</f>
        <v>3.0471</v>
      </c>
      <c r="N1220" s="208"/>
      <c r="O1220" s="208"/>
      <c r="P1220" s="208"/>
      <c r="Q1220" s="208"/>
      <c r="R1220" s="157"/>
      <c r="S1220" s="833"/>
    </row>
    <row r="1221" spans="1:19" ht="21" customHeight="1">
      <c r="A1221" s="157"/>
      <c r="B1221" s="204"/>
      <c r="C1221" s="207">
        <v>2000000</v>
      </c>
      <c r="D1221" s="206" t="s">
        <v>789</v>
      </c>
      <c r="E1221" s="179">
        <f>Q1114</f>
        <v>3.3</v>
      </c>
      <c r="F1221" s="204"/>
      <c r="G1221" s="207">
        <v>90000000</v>
      </c>
      <c r="H1221" s="208"/>
      <c r="I1221" s="204"/>
      <c r="J1221" s="204"/>
      <c r="K1221" s="204"/>
      <c r="L1221" s="208" t="s">
        <v>789</v>
      </c>
      <c r="M1221" s="179">
        <f>Q1160</f>
        <v>3.0471</v>
      </c>
      <c r="N1221" s="208"/>
      <c r="O1221" s="208"/>
      <c r="P1221" s="208"/>
      <c r="Q1221" s="208"/>
      <c r="R1221" s="157"/>
      <c r="S1221" s="833"/>
    </row>
    <row r="1222" spans="1:19" ht="21" customHeight="1">
      <c r="A1222" s="157"/>
      <c r="B1222" s="204"/>
      <c r="C1222" s="207">
        <v>5000000</v>
      </c>
      <c r="D1222" s="206" t="s">
        <v>789</v>
      </c>
      <c r="E1222" s="179">
        <f>Q1114</f>
        <v>3.3</v>
      </c>
      <c r="F1222" s="204"/>
      <c r="G1222" s="207">
        <v>100000000</v>
      </c>
      <c r="H1222" s="208"/>
      <c r="I1222" s="204"/>
      <c r="J1222" s="204"/>
      <c r="K1222" s="204"/>
      <c r="L1222" s="208" t="s">
        <v>789</v>
      </c>
      <c r="M1222" s="179">
        <f>Q1160</f>
        <v>3.0471</v>
      </c>
      <c r="N1222" s="208"/>
      <c r="O1222" s="208"/>
      <c r="P1222" s="208"/>
      <c r="Q1222" s="208"/>
      <c r="R1222" s="157"/>
      <c r="S1222" s="833"/>
    </row>
    <row r="1223" spans="1:19" ht="21" customHeight="1">
      <c r="A1223" s="157"/>
      <c r="B1223" s="204"/>
      <c r="C1223" s="207">
        <v>10000000</v>
      </c>
      <c r="D1223" s="206" t="s">
        <v>789</v>
      </c>
      <c r="E1223" s="179">
        <f>Q1114</f>
        <v>3.3</v>
      </c>
      <c r="F1223" s="204"/>
      <c r="G1223" s="207">
        <v>150000000</v>
      </c>
      <c r="H1223" s="208"/>
      <c r="I1223" s="204"/>
      <c r="J1223" s="204"/>
      <c r="K1223" s="204"/>
      <c r="L1223" s="208" t="s">
        <v>789</v>
      </c>
      <c r="M1223" s="179">
        <f>Q1178</f>
        <v>3.149</v>
      </c>
      <c r="N1223" s="208"/>
      <c r="O1223" s="208"/>
      <c r="P1223" s="208"/>
      <c r="Q1223" s="208"/>
      <c r="R1223" s="157"/>
      <c r="S1223" s="833"/>
    </row>
    <row r="1224" spans="1:19" ht="21" customHeight="1">
      <c r="A1224" s="157"/>
      <c r="B1224" s="204"/>
      <c r="C1224" s="207">
        <v>15000000</v>
      </c>
      <c r="D1224" s="206" t="s">
        <v>789</v>
      </c>
      <c r="E1224" s="179">
        <f>Q1127</f>
        <v>3.4475</v>
      </c>
      <c r="F1224" s="204"/>
      <c r="G1224" s="207">
        <v>200000000</v>
      </c>
      <c r="H1224" s="208"/>
      <c r="I1224" s="204"/>
      <c r="J1224" s="204"/>
      <c r="K1224" s="204"/>
      <c r="L1224" s="208" t="s">
        <v>789</v>
      </c>
      <c r="M1224" s="179">
        <f>Q1178</f>
        <v>3.149</v>
      </c>
      <c r="N1224" s="208"/>
      <c r="O1224" s="208"/>
      <c r="P1224" s="208"/>
      <c r="Q1224" s="208"/>
      <c r="R1224" s="157"/>
      <c r="S1224" s="833"/>
    </row>
    <row r="1225" spans="1:19" ht="21" customHeight="1">
      <c r="A1225" s="157"/>
      <c r="B1225" s="204"/>
      <c r="C1225" s="207">
        <v>20000000</v>
      </c>
      <c r="D1225" s="206" t="s">
        <v>789</v>
      </c>
      <c r="E1225" s="179">
        <f>Q1127</f>
        <v>3.4475</v>
      </c>
      <c r="F1225" s="204"/>
      <c r="G1225" s="207">
        <v>250000000</v>
      </c>
      <c r="H1225" s="208"/>
      <c r="I1225" s="204"/>
      <c r="J1225" s="204"/>
      <c r="K1225" s="204"/>
      <c r="L1225" s="208" t="s">
        <v>789</v>
      </c>
      <c r="M1225" s="179">
        <f>Q1178</f>
        <v>3.149</v>
      </c>
      <c r="N1225" s="208"/>
      <c r="O1225" s="208"/>
      <c r="P1225" s="208"/>
      <c r="Q1225" s="208"/>
      <c r="R1225" s="157"/>
      <c r="S1225" s="833"/>
    </row>
    <row r="1226" spans="1:19" ht="21" customHeight="1">
      <c r="A1226" s="157"/>
      <c r="B1226" s="204"/>
      <c r="C1226" s="207">
        <v>25000000</v>
      </c>
      <c r="D1226" s="206" t="s">
        <v>789</v>
      </c>
      <c r="E1226" s="179">
        <f>Q1127</f>
        <v>3.4475</v>
      </c>
      <c r="F1226" s="204"/>
      <c r="G1226" s="207">
        <v>300000000</v>
      </c>
      <c r="H1226" s="208"/>
      <c r="I1226" s="204"/>
      <c r="J1226" s="204"/>
      <c r="K1226" s="204"/>
      <c r="L1226" s="208" t="s">
        <v>789</v>
      </c>
      <c r="M1226" s="179">
        <f>Q1178</f>
        <v>3.149</v>
      </c>
      <c r="N1226" s="208"/>
      <c r="O1226" s="208"/>
      <c r="P1226" s="208"/>
      <c r="Q1226" s="208"/>
      <c r="R1226" s="157"/>
      <c r="S1226" s="833"/>
    </row>
    <row r="1227" spans="1:19" ht="21" customHeight="1">
      <c r="A1227" s="157"/>
      <c r="B1227" s="204"/>
      <c r="C1227" s="207">
        <v>30000000</v>
      </c>
      <c r="D1227" s="206" t="s">
        <v>789</v>
      </c>
      <c r="E1227" s="179">
        <f>Q1143</f>
        <v>3.2365</v>
      </c>
      <c r="F1227" s="204"/>
      <c r="G1227" s="207">
        <v>350000000</v>
      </c>
      <c r="H1227" s="208"/>
      <c r="I1227" s="204"/>
      <c r="J1227" s="204"/>
      <c r="K1227" s="204"/>
      <c r="L1227" s="208" t="s">
        <v>789</v>
      </c>
      <c r="M1227" s="179">
        <f>Q1197</f>
        <v>3.0925</v>
      </c>
      <c r="N1227" s="208"/>
      <c r="O1227" s="208"/>
      <c r="P1227" s="208"/>
      <c r="Q1227" s="208"/>
      <c r="R1227" s="157"/>
      <c r="S1227" s="833"/>
    </row>
    <row r="1228" spans="1:19" ht="21" customHeight="1">
      <c r="A1228" s="157"/>
      <c r="B1228" s="204"/>
      <c r="C1228" s="207">
        <v>40000000</v>
      </c>
      <c r="D1228" s="206" t="s">
        <v>789</v>
      </c>
      <c r="E1228" s="179">
        <f>Q1143</f>
        <v>3.2365</v>
      </c>
      <c r="F1228" s="204"/>
      <c r="G1228" s="207">
        <v>400000000</v>
      </c>
      <c r="H1228" s="208"/>
      <c r="I1228" s="204"/>
      <c r="J1228" s="204"/>
      <c r="K1228" s="204"/>
      <c r="L1228" s="208" t="s">
        <v>789</v>
      </c>
      <c r="M1228" s="179">
        <f>Q1197</f>
        <v>3.0925</v>
      </c>
      <c r="N1228" s="208"/>
      <c r="O1228" s="208"/>
      <c r="P1228" s="208"/>
      <c r="Q1228" s="208"/>
      <c r="R1228" s="157"/>
      <c r="S1228" s="833"/>
    </row>
    <row r="1229" spans="1:19" ht="21" customHeight="1">
      <c r="A1229" s="157"/>
      <c r="B1229" s="204"/>
      <c r="C1229" s="207">
        <v>50000000</v>
      </c>
      <c r="D1229" s="206" t="s">
        <v>789</v>
      </c>
      <c r="E1229" s="179">
        <f>Q1143</f>
        <v>3.2365</v>
      </c>
      <c r="F1229" s="204"/>
      <c r="G1229" s="207">
        <v>500000000</v>
      </c>
      <c r="H1229" s="208"/>
      <c r="I1229" s="204"/>
      <c r="J1229" s="204"/>
      <c r="K1229" s="204"/>
      <c r="L1229" s="208" t="s">
        <v>789</v>
      </c>
      <c r="M1229" s="179">
        <f>Q1197</f>
        <v>3.0925</v>
      </c>
      <c r="N1229" s="208"/>
      <c r="O1229" s="208"/>
      <c r="P1229" s="208"/>
      <c r="Q1229" s="208"/>
      <c r="R1229" s="157"/>
      <c r="S1229" s="833"/>
    </row>
    <row r="1230" spans="1:19" ht="21" customHeight="1">
      <c r="A1230" s="157"/>
      <c r="B1230" s="204"/>
      <c r="C1230" s="207">
        <v>60000000</v>
      </c>
      <c r="D1230" s="206" t="s">
        <v>789</v>
      </c>
      <c r="E1230" s="179">
        <f>Q1160</f>
        <v>3.0471</v>
      </c>
      <c r="F1230" s="204"/>
      <c r="G1230" s="207">
        <v>1000000000</v>
      </c>
      <c r="H1230" s="208"/>
      <c r="I1230" s="204"/>
      <c r="J1230" s="204"/>
      <c r="K1230" s="204"/>
      <c r="L1230" s="208" t="s">
        <v>789</v>
      </c>
      <c r="M1230" s="179">
        <f>Q1213</f>
        <v>2.5424</v>
      </c>
      <c r="N1230" s="208"/>
      <c r="O1230" s="208"/>
      <c r="P1230" s="208"/>
      <c r="Q1230" s="208"/>
      <c r="R1230" s="157"/>
      <c r="S1230" s="833"/>
    </row>
    <row r="1231" spans="1:19" ht="21" customHeight="1">
      <c r="A1231" s="157"/>
      <c r="B1231" s="157"/>
      <c r="C1231" s="157"/>
      <c r="D1231" s="157"/>
      <c r="E1231" s="178"/>
      <c r="F1231" s="157"/>
      <c r="N1231" s="157"/>
      <c r="O1231" s="157"/>
      <c r="P1231" s="165"/>
      <c r="Q1231" s="165"/>
      <c r="R1231" s="157"/>
      <c r="S1231" s="833"/>
    </row>
    <row r="1232" spans="1:19" ht="25.5" customHeight="1">
      <c r="A1232" s="326"/>
      <c r="B1232" s="158" t="s">
        <v>454</v>
      </c>
      <c r="C1232" s="158" t="s">
        <v>455</v>
      </c>
      <c r="D1232" s="327"/>
      <c r="E1232" s="328"/>
      <c r="F1232" s="328"/>
      <c r="G1232" s="328"/>
      <c r="H1232" s="326"/>
      <c r="I1232" s="326"/>
      <c r="J1232" s="326"/>
      <c r="K1232" s="326"/>
      <c r="L1232" s="326"/>
      <c r="M1232" s="326"/>
      <c r="N1232" s="326"/>
      <c r="O1232" s="326"/>
      <c r="P1232" s="326"/>
      <c r="Q1232" s="326"/>
      <c r="S1232" s="833"/>
    </row>
    <row r="1233" spans="1:19" ht="23.25" customHeight="1">
      <c r="A1233" s="302"/>
      <c r="B1233" s="161" t="s">
        <v>456</v>
      </c>
      <c r="C1233" s="162" t="s">
        <v>457</v>
      </c>
      <c r="D1233" s="163"/>
      <c r="E1233" s="251"/>
      <c r="F1233" s="251"/>
      <c r="G1233" s="251"/>
      <c r="H1233" s="326"/>
      <c r="I1233" s="326"/>
      <c r="J1233" s="326"/>
      <c r="K1233" s="326"/>
      <c r="L1233" s="326"/>
      <c r="M1233" s="326"/>
      <c r="N1233" s="326"/>
      <c r="O1233" s="326"/>
      <c r="P1233" s="326"/>
      <c r="Q1233" s="326"/>
      <c r="S1233" s="833"/>
    </row>
    <row r="1234" spans="1:19" ht="21" customHeight="1">
      <c r="A1234" s="326"/>
      <c r="B1234" s="328"/>
      <c r="C1234" s="328" t="s">
        <v>458</v>
      </c>
      <c r="D1234" s="328"/>
      <c r="E1234" s="328"/>
      <c r="F1234" s="328"/>
      <c r="G1234" s="328"/>
      <c r="H1234" s="326"/>
      <c r="I1234" s="326"/>
      <c r="J1234" s="326"/>
      <c r="K1234" s="326"/>
      <c r="L1234" s="326"/>
      <c r="M1234" s="326"/>
      <c r="N1234" s="326"/>
      <c r="O1234" s="326"/>
      <c r="P1234" s="326"/>
      <c r="Q1234" s="326"/>
      <c r="S1234" s="833"/>
    </row>
    <row r="1235" spans="1:19" ht="21" customHeight="1">
      <c r="A1235" s="326"/>
      <c r="B1235" s="328"/>
      <c r="C1235" s="328"/>
      <c r="D1235" s="274" t="s">
        <v>789</v>
      </c>
      <c r="E1235" s="328" t="s">
        <v>459</v>
      </c>
      <c r="F1235" s="329"/>
      <c r="G1235" s="329"/>
      <c r="H1235" s="326"/>
      <c r="I1235" s="326"/>
      <c r="J1235" s="326"/>
      <c r="K1235" s="326"/>
      <c r="L1235" s="326"/>
      <c r="M1235" s="326"/>
      <c r="N1235" s="326"/>
      <c r="O1235" s="326"/>
      <c r="P1235" s="326"/>
      <c r="Q1235" s="326"/>
      <c r="S1235" s="833"/>
    </row>
    <row r="1236" spans="1:19" ht="21" customHeight="1">
      <c r="A1236" s="326"/>
      <c r="B1236" s="328"/>
      <c r="C1236" s="328"/>
      <c r="D1236" s="274" t="s">
        <v>789</v>
      </c>
      <c r="E1236" s="330">
        <v>0.25</v>
      </c>
      <c r="F1236" s="331" t="s">
        <v>233</v>
      </c>
      <c r="G1236" s="330">
        <v>0.05</v>
      </c>
      <c r="H1236" s="326"/>
      <c r="I1236" s="326"/>
      <c r="J1236" s="326"/>
      <c r="K1236" s="326"/>
      <c r="L1236" s="326"/>
      <c r="M1236" s="326"/>
      <c r="N1236" s="326"/>
      <c r="O1236" s="326"/>
      <c r="P1236" s="326"/>
      <c r="Q1236" s="326"/>
      <c r="S1236" s="833"/>
    </row>
    <row r="1237" spans="1:19" ht="21" customHeight="1">
      <c r="A1237" s="326"/>
      <c r="B1237" s="328"/>
      <c r="C1237" s="328"/>
      <c r="D1237" s="274" t="s">
        <v>789</v>
      </c>
      <c r="E1237" s="332">
        <f>E1236+G1236</f>
        <v>0.3</v>
      </c>
      <c r="F1237" s="328"/>
      <c r="G1237" s="328" t="s">
        <v>460</v>
      </c>
      <c r="H1237" s="326"/>
      <c r="I1237" s="326"/>
      <c r="J1237" s="326"/>
      <c r="K1237" s="326"/>
      <c r="L1237" s="326"/>
      <c r="M1237" s="326"/>
      <c r="N1237" s="326"/>
      <c r="O1237" s="326"/>
      <c r="P1237" s="326"/>
      <c r="Q1237" s="326"/>
      <c r="S1237" s="833"/>
    </row>
    <row r="1238" ht="21" customHeight="1">
      <c r="S1238" s="833"/>
    </row>
    <row r="1239" spans="4:19" ht="7.5" customHeight="1">
      <c r="D1239" s="834"/>
      <c r="E1239" s="834"/>
      <c r="F1239" s="834"/>
      <c r="G1239" s="834"/>
      <c r="S1239" s="833"/>
    </row>
    <row r="1240" spans="3:19" ht="21" customHeight="1">
      <c r="C1240" s="333" t="s">
        <v>493</v>
      </c>
      <c r="S1240" s="833"/>
    </row>
    <row r="1241" spans="2:19" ht="32.25" customHeight="1">
      <c r="B1241" s="837" t="s">
        <v>461</v>
      </c>
      <c r="C1241" s="837"/>
      <c r="D1241" s="837"/>
      <c r="E1241" s="837"/>
      <c r="F1241" s="837"/>
      <c r="G1241" s="837"/>
      <c r="H1241" s="837"/>
      <c r="I1241" s="837"/>
      <c r="J1241" s="837"/>
      <c r="K1241" s="837"/>
      <c r="L1241" s="837"/>
      <c r="M1241" s="837"/>
      <c r="N1241" s="837"/>
      <c r="O1241" s="837"/>
      <c r="P1241" s="837"/>
      <c r="Q1241" s="837"/>
      <c r="R1241" s="837"/>
      <c r="S1241" s="833"/>
    </row>
    <row r="1242" ht="21" customHeight="1">
      <c r="S1242" s="209"/>
    </row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</sheetData>
  <sheetProtection sheet="1" objects="1" scenarios="1"/>
  <mergeCells count="158">
    <mergeCell ref="G1029:R1029"/>
    <mergeCell ref="S811:S837"/>
    <mergeCell ref="S838:S864"/>
    <mergeCell ref="A81:R81"/>
    <mergeCell ref="G1001:R1001"/>
    <mergeCell ref="G1013:R1013"/>
    <mergeCell ref="G1021:R1021"/>
    <mergeCell ref="A1026:R1026"/>
    <mergeCell ref="S1000:S1026"/>
    <mergeCell ref="S1027:S1053"/>
    <mergeCell ref="S1:S27"/>
    <mergeCell ref="A27:R27"/>
    <mergeCell ref="G28:R28"/>
    <mergeCell ref="S28:S54"/>
    <mergeCell ref="G8:R8"/>
    <mergeCell ref="G36:R36"/>
    <mergeCell ref="A54:R54"/>
    <mergeCell ref="S1054:S1080"/>
    <mergeCell ref="S1162:S1188"/>
    <mergeCell ref="S757:S783"/>
    <mergeCell ref="S784:S810"/>
    <mergeCell ref="S865:S891"/>
    <mergeCell ref="S892:S918"/>
    <mergeCell ref="S1081:S1107"/>
    <mergeCell ref="S1108:S1134"/>
    <mergeCell ref="S1135:S1161"/>
    <mergeCell ref="S55:S81"/>
    <mergeCell ref="S82:S108"/>
    <mergeCell ref="G89:R89"/>
    <mergeCell ref="G100:R100"/>
    <mergeCell ref="A108:R108"/>
    <mergeCell ref="A270:R270"/>
    <mergeCell ref="S244:S270"/>
    <mergeCell ref="G116:R116"/>
    <mergeCell ref="S217:S243"/>
    <mergeCell ref="S109:S135"/>
    <mergeCell ref="G128:R128"/>
    <mergeCell ref="A135:R135"/>
    <mergeCell ref="S163:S189"/>
    <mergeCell ref="A189:R189"/>
    <mergeCell ref="A216:R216"/>
    <mergeCell ref="S190:S216"/>
    <mergeCell ref="C153:E153"/>
    <mergeCell ref="S325:S351"/>
    <mergeCell ref="G345:R345"/>
    <mergeCell ref="S406:S432"/>
    <mergeCell ref="G153:R153"/>
    <mergeCell ref="A162:R162"/>
    <mergeCell ref="S136:S162"/>
    <mergeCell ref="G144:R144"/>
    <mergeCell ref="G249:R249"/>
    <mergeCell ref="A243:R243"/>
    <mergeCell ref="G260:R260"/>
    <mergeCell ref="S271:S297"/>
    <mergeCell ref="G272:R272"/>
    <mergeCell ref="G287:R287"/>
    <mergeCell ref="A297:R297"/>
    <mergeCell ref="A324:R324"/>
    <mergeCell ref="G310:R310"/>
    <mergeCell ref="S298:S324"/>
    <mergeCell ref="G299:R299"/>
    <mergeCell ref="S433:S459"/>
    <mergeCell ref="A378:R378"/>
    <mergeCell ref="S352:S378"/>
    <mergeCell ref="G387:R387"/>
    <mergeCell ref="A405:R405"/>
    <mergeCell ref="S379:S405"/>
    <mergeCell ref="G407:R407"/>
    <mergeCell ref="A432:R432"/>
    <mergeCell ref="G434:R434"/>
    <mergeCell ref="A459:R459"/>
    <mergeCell ref="A567:R567"/>
    <mergeCell ref="A351:R351"/>
    <mergeCell ref="G460:R460"/>
    <mergeCell ref="G353:R353"/>
    <mergeCell ref="S514:S540"/>
    <mergeCell ref="S541:S567"/>
    <mergeCell ref="A486:R486"/>
    <mergeCell ref="G487:R487"/>
    <mergeCell ref="A513:R513"/>
    <mergeCell ref="S460:S486"/>
    <mergeCell ref="S487:S513"/>
    <mergeCell ref="G515:R515"/>
    <mergeCell ref="A540:R540"/>
    <mergeCell ref="G541:R541"/>
    <mergeCell ref="S622:S648"/>
    <mergeCell ref="A621:R621"/>
    <mergeCell ref="G622:R622"/>
    <mergeCell ref="S568:S594"/>
    <mergeCell ref="S595:S621"/>
    <mergeCell ref="G634:R634"/>
    <mergeCell ref="A648:R648"/>
    <mergeCell ref="A594:R594"/>
    <mergeCell ref="S649:S675"/>
    <mergeCell ref="S676:S702"/>
    <mergeCell ref="G662:R662"/>
    <mergeCell ref="A675:R675"/>
    <mergeCell ref="G677:R677"/>
    <mergeCell ref="G692:R692"/>
    <mergeCell ref="A702:R702"/>
    <mergeCell ref="G649:R649"/>
    <mergeCell ref="S703:S729"/>
    <mergeCell ref="D839:E839"/>
    <mergeCell ref="A729:R729"/>
    <mergeCell ref="A756:R756"/>
    <mergeCell ref="G758:R758"/>
    <mergeCell ref="S730:S756"/>
    <mergeCell ref="G724:R724"/>
    <mergeCell ref="G793:R793"/>
    <mergeCell ref="G711:R711"/>
    <mergeCell ref="G738:R738"/>
    <mergeCell ref="A864:R864"/>
    <mergeCell ref="D830:E830"/>
    <mergeCell ref="A837:R837"/>
    <mergeCell ref="G772:R772"/>
    <mergeCell ref="A783:R783"/>
    <mergeCell ref="G811:R811"/>
    <mergeCell ref="G825:R825"/>
    <mergeCell ref="A810:R810"/>
    <mergeCell ref="A945:R945"/>
    <mergeCell ref="A972:R972"/>
    <mergeCell ref="S946:S972"/>
    <mergeCell ref="S973:S999"/>
    <mergeCell ref="G982:R982"/>
    <mergeCell ref="A999:R999"/>
    <mergeCell ref="S919:S945"/>
    <mergeCell ref="G895:R895"/>
    <mergeCell ref="G904:R904"/>
    <mergeCell ref="G912:R912"/>
    <mergeCell ref="A918:R918"/>
    <mergeCell ref="G868:R868"/>
    <mergeCell ref="G877:R877"/>
    <mergeCell ref="G885:R885"/>
    <mergeCell ref="A891:R891"/>
    <mergeCell ref="G1138:R1138"/>
    <mergeCell ref="G1153:R1153"/>
    <mergeCell ref="A1161:R1161"/>
    <mergeCell ref="G1105:R1105"/>
    <mergeCell ref="G1108:R1108"/>
    <mergeCell ref="G1122:R1122"/>
    <mergeCell ref="G1036:R1036"/>
    <mergeCell ref="G1045:R1045"/>
    <mergeCell ref="A1053:R1053"/>
    <mergeCell ref="A1107:R1107"/>
    <mergeCell ref="G1057:R1057"/>
    <mergeCell ref="G1066:R1066"/>
    <mergeCell ref="G1074:R1074"/>
    <mergeCell ref="A1080:R1080"/>
    <mergeCell ref="S1216:S1241"/>
    <mergeCell ref="D1239:G1239"/>
    <mergeCell ref="A1134:R1134"/>
    <mergeCell ref="S1189:S1215"/>
    <mergeCell ref="G1172:R1172"/>
    <mergeCell ref="A1188:R1188"/>
    <mergeCell ref="G1192:R1192"/>
    <mergeCell ref="G1210:R1210"/>
    <mergeCell ref="A1215:R1215"/>
    <mergeCell ref="B1241:R1241"/>
  </mergeCells>
  <printOptions horizontalCentered="1"/>
  <pageMargins left="0.7480314960629921" right="0.15748031496062992" top="0.6299212598425197" bottom="0.15748031496062992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O58"/>
  <sheetViews>
    <sheetView showGridLines="0" zoomScaleSheetLayoutView="100" zoomScalePageLayoutView="0" workbookViewId="0" topLeftCell="A1">
      <selection activeCell="A1" sqref="A1:B1"/>
    </sheetView>
  </sheetViews>
  <sheetFormatPr defaultColWidth="0" defaultRowHeight="19.5" customHeight="1"/>
  <cols>
    <col min="1" max="1" width="6.8515625" style="58" customWidth="1"/>
    <col min="2" max="2" width="55.421875" style="58" customWidth="1"/>
    <col min="3" max="4" width="7.421875" style="58" customWidth="1"/>
    <col min="5" max="7" width="7.57421875" style="58" customWidth="1"/>
    <col min="8" max="8" width="7.00390625" style="58" customWidth="1"/>
    <col min="9" max="9" width="7.28125" style="58" customWidth="1"/>
    <col min="10" max="10" width="7.421875" style="58" customWidth="1"/>
    <col min="11" max="14" width="7.28125" style="58" customWidth="1"/>
    <col min="15" max="15" width="5.28125" style="58" customWidth="1"/>
    <col min="16" max="16384" width="0" style="58" hidden="1" customWidth="1"/>
  </cols>
  <sheetData>
    <row r="1" spans="1:15" ht="30" customHeight="1">
      <c r="A1" s="852" t="s">
        <v>686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45" t="s">
        <v>687</v>
      </c>
    </row>
    <row r="2" spans="1:15" s="61" customFormat="1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688</v>
      </c>
      <c r="N2" s="59"/>
      <c r="O2" s="845"/>
    </row>
    <row r="3" spans="1:15" s="63" customFormat="1" ht="24.75" customHeight="1">
      <c r="A3" s="62">
        <v>1</v>
      </c>
      <c r="B3" s="62" t="s">
        <v>689</v>
      </c>
      <c r="O3" s="845"/>
    </row>
    <row r="4" spans="1:15" ht="19.5" customHeight="1">
      <c r="A4" s="846" t="s">
        <v>496</v>
      </c>
      <c r="B4" s="846" t="s">
        <v>497</v>
      </c>
      <c r="C4" s="848" t="s">
        <v>690</v>
      </c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50"/>
      <c r="O4" s="845"/>
    </row>
    <row r="5" spans="1:15" ht="19.5" customHeight="1">
      <c r="A5" s="847"/>
      <c r="B5" s="847"/>
      <c r="C5" s="64">
        <v>0.5</v>
      </c>
      <c r="D5" s="64">
        <v>1</v>
      </c>
      <c r="E5" s="64">
        <v>2</v>
      </c>
      <c r="F5" s="64">
        <v>5</v>
      </c>
      <c r="G5" s="64">
        <v>10</v>
      </c>
      <c r="H5" s="64">
        <v>15</v>
      </c>
      <c r="I5" s="64">
        <v>20</v>
      </c>
      <c r="J5" s="64">
        <v>25</v>
      </c>
      <c r="K5" s="64">
        <v>30</v>
      </c>
      <c r="L5" s="64">
        <v>40</v>
      </c>
      <c r="M5" s="64">
        <v>50</v>
      </c>
      <c r="N5" s="64">
        <v>60</v>
      </c>
      <c r="O5" s="845"/>
    </row>
    <row r="6" spans="1:15" s="68" customFormat="1" ht="19.5" customHeight="1">
      <c r="A6" s="65">
        <v>1.1</v>
      </c>
      <c r="B6" s="66" t="s">
        <v>691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845"/>
    </row>
    <row r="7" spans="1:15" ht="19.5" customHeight="1">
      <c r="A7" s="69" t="s">
        <v>692</v>
      </c>
      <c r="B7" s="70" t="s">
        <v>693</v>
      </c>
      <c r="C7" s="335">
        <f>ค่าอำนวยการ!Q9</f>
        <v>0.0625</v>
      </c>
      <c r="D7" s="335">
        <f>ค่าอำนวยการ!Q10</f>
        <v>0.0625</v>
      </c>
      <c r="E7" s="335">
        <f>ค่าอำนวยการ!Q11</f>
        <v>0.0938</v>
      </c>
      <c r="F7" s="335">
        <f>ค่าอำนวยการ!Q12</f>
        <v>0.125</v>
      </c>
      <c r="G7" s="335">
        <f>ค่าอำนวยการ!Q13</f>
        <v>0.1563</v>
      </c>
      <c r="H7" s="335">
        <f>ค่าอำนวยการ!Q14</f>
        <v>0.1563</v>
      </c>
      <c r="I7" s="335">
        <f>ค่าอำนวยการ!Q15</f>
        <v>0.1667</v>
      </c>
      <c r="J7" s="335">
        <f>ค่าอำนวยการ!Q16</f>
        <v>0.1667</v>
      </c>
      <c r="K7" s="335">
        <f>ค่าอำนวยการ!Q17</f>
        <v>0.1771</v>
      </c>
      <c r="L7" s="335">
        <f>ค่าอำนวยการ!Q18</f>
        <v>0.1771</v>
      </c>
      <c r="M7" s="335">
        <f>ค่าอำนวยการ!Q19</f>
        <v>0.1875</v>
      </c>
      <c r="N7" s="335">
        <f>ค่าอำนวยการ!Q20</f>
        <v>0.1875</v>
      </c>
      <c r="O7" s="845"/>
    </row>
    <row r="8" spans="1:15" ht="19.5" customHeight="1">
      <c r="A8" s="69" t="s">
        <v>694</v>
      </c>
      <c r="B8" s="70" t="s">
        <v>695</v>
      </c>
      <c r="C8" s="335">
        <f>ค่าอำนวยการ!$Q$40</f>
        <v>0.25</v>
      </c>
      <c r="D8" s="335">
        <f>ค่าอำนวยการ!$Q$40</f>
        <v>0.25</v>
      </c>
      <c r="E8" s="335">
        <f>ค่าอำนวยการ!$Q$40</f>
        <v>0.25</v>
      </c>
      <c r="F8" s="335">
        <f>ค่าอำนวยการ!$Q$40</f>
        <v>0.25</v>
      </c>
      <c r="G8" s="335">
        <f>ค่าอำนวยการ!$Q$40</f>
        <v>0.25</v>
      </c>
      <c r="H8" s="335">
        <f>ค่าอำนวยการ!$Q$40</f>
        <v>0.25</v>
      </c>
      <c r="I8" s="335">
        <f>ค่าอำนวยการ!$Q$40</f>
        <v>0.25</v>
      </c>
      <c r="J8" s="335">
        <f>ค่าอำนวยการ!$Q$40</f>
        <v>0.25</v>
      </c>
      <c r="K8" s="335">
        <f>ค่าอำนวยการ!$Q$40</f>
        <v>0.25</v>
      </c>
      <c r="L8" s="335">
        <f>ค่าอำนวยการ!$Q$40</f>
        <v>0.25</v>
      </c>
      <c r="M8" s="335">
        <f>ค่าอำนวยการ!$Q$40</f>
        <v>0.25</v>
      </c>
      <c r="N8" s="335">
        <f>ค่าอำนวยการ!$Q$40</f>
        <v>0.25</v>
      </c>
      <c r="O8" s="845"/>
    </row>
    <row r="9" spans="1:15" ht="19.5" customHeight="1">
      <c r="A9" s="69" t="s">
        <v>696</v>
      </c>
      <c r="B9" s="72" t="s">
        <v>697</v>
      </c>
      <c r="C9" s="335">
        <f>ค่าอำนวยการ!$Q$44</f>
        <v>0.1</v>
      </c>
      <c r="D9" s="335">
        <f>ค่าอำนวยการ!$Q$44</f>
        <v>0.1</v>
      </c>
      <c r="E9" s="335">
        <f>ค่าอำนวยการ!$Q$44</f>
        <v>0.1</v>
      </c>
      <c r="F9" s="335">
        <f>ค่าอำนวยการ!$Q$44</f>
        <v>0.1</v>
      </c>
      <c r="G9" s="335">
        <f>ค่าอำนวยการ!$Q$44</f>
        <v>0.1</v>
      </c>
      <c r="H9" s="335">
        <f>ค่าอำนวยการ!$Q$44</f>
        <v>0.1</v>
      </c>
      <c r="I9" s="335">
        <f>ค่าอำนวยการ!$Q$44</f>
        <v>0.1</v>
      </c>
      <c r="J9" s="335">
        <f>ค่าอำนวยการ!$Q$44</f>
        <v>0.1</v>
      </c>
      <c r="K9" s="335">
        <f>ค่าอำนวยการ!$Q$44</f>
        <v>0.1</v>
      </c>
      <c r="L9" s="335">
        <f>ค่าอำนวยการ!$Q$44</f>
        <v>0.1</v>
      </c>
      <c r="M9" s="335">
        <f>ค่าอำนวยการ!$Q$44</f>
        <v>0.1</v>
      </c>
      <c r="N9" s="335">
        <f>ค่าอำนวยการ!$Q$44</f>
        <v>0.1</v>
      </c>
      <c r="O9" s="845"/>
    </row>
    <row r="10" spans="1:15" s="73" customFormat="1" ht="19.5" customHeight="1">
      <c r="A10" s="69" t="s">
        <v>698</v>
      </c>
      <c r="B10" s="70" t="s">
        <v>699</v>
      </c>
      <c r="C10" s="335">
        <f>ค่าอำนวยการ!$Q$53</f>
        <v>0.258</v>
      </c>
      <c r="D10" s="335">
        <f>ค่าอำนวยการ!$Q$53</f>
        <v>0.258</v>
      </c>
      <c r="E10" s="335">
        <f>ค่าอำนวยการ!$Q$53</f>
        <v>0.258</v>
      </c>
      <c r="F10" s="335">
        <f>ค่าอำนวยการ!$Q$53</f>
        <v>0.258</v>
      </c>
      <c r="G10" s="335">
        <f>ค่าอำนวยการ!$Q$53</f>
        <v>0.258</v>
      </c>
      <c r="H10" s="335">
        <f>ค่าอำนวยการ!$Q$53</f>
        <v>0.258</v>
      </c>
      <c r="I10" s="335">
        <f>ค่าอำนวยการ!$Q$53</f>
        <v>0.258</v>
      </c>
      <c r="J10" s="335">
        <f>ค่าอำนวยการ!$Q$53</f>
        <v>0.258</v>
      </c>
      <c r="K10" s="335">
        <f>ค่าอำนวยการ!$Q$53</f>
        <v>0.258</v>
      </c>
      <c r="L10" s="335">
        <f>ค่าอำนวยการ!$Q$53</f>
        <v>0.258</v>
      </c>
      <c r="M10" s="335">
        <f>ค่าอำนวยการ!$Q$53</f>
        <v>0.258</v>
      </c>
      <c r="N10" s="335">
        <f>ค่าอำนวยการ!$Q$53</f>
        <v>0.258</v>
      </c>
      <c r="O10" s="845"/>
    </row>
    <row r="11" spans="1:15" s="68" customFormat="1" ht="19.5" customHeight="1">
      <c r="A11" s="74">
        <v>1.2</v>
      </c>
      <c r="B11" s="75" t="s">
        <v>700</v>
      </c>
      <c r="C11" s="336" t="s">
        <v>562</v>
      </c>
      <c r="D11" s="336" t="s">
        <v>562</v>
      </c>
      <c r="E11" s="336"/>
      <c r="F11" s="336" t="s">
        <v>562</v>
      </c>
      <c r="G11" s="336" t="s">
        <v>562</v>
      </c>
      <c r="H11" s="336" t="s">
        <v>562</v>
      </c>
      <c r="I11" s="336" t="s">
        <v>562</v>
      </c>
      <c r="J11" s="336" t="s">
        <v>562</v>
      </c>
      <c r="K11" s="336" t="s">
        <v>562</v>
      </c>
      <c r="L11" s="336" t="s">
        <v>562</v>
      </c>
      <c r="M11" s="336" t="s">
        <v>562</v>
      </c>
      <c r="N11" s="336" t="s">
        <v>562</v>
      </c>
      <c r="O11" s="845"/>
    </row>
    <row r="12" spans="1:15" ht="19.5" customHeight="1">
      <c r="A12" s="69" t="s">
        <v>701</v>
      </c>
      <c r="B12" s="70" t="s">
        <v>702</v>
      </c>
      <c r="C12" s="335">
        <f>ค่าอำนวยการ!M154</f>
        <v>0.3285</v>
      </c>
      <c r="D12" s="335">
        <f>ค่าอำนวยการ!M154</f>
        <v>0.3285</v>
      </c>
      <c r="E12" s="335">
        <f>ค่าอำนวยการ!M154</f>
        <v>0.3285</v>
      </c>
      <c r="F12" s="335">
        <f>ค่าอำนวยการ!M154</f>
        <v>0.3285</v>
      </c>
      <c r="G12" s="335">
        <f>ค่าอำนวยการ!M154</f>
        <v>0.3285</v>
      </c>
      <c r="H12" s="335">
        <f>ค่าอำนวยการ!M155</f>
        <v>0.0811</v>
      </c>
      <c r="I12" s="335">
        <f>ค่าอำนวยการ!M155</f>
        <v>0.0811</v>
      </c>
      <c r="J12" s="335">
        <f>ค่าอำนวยการ!M155</f>
        <v>0.0811</v>
      </c>
      <c r="K12" s="335">
        <f>ค่าอำนวยการ!M155</f>
        <v>0.0811</v>
      </c>
      <c r="L12" s="335">
        <f>ค่าอำนวยการ!M156</f>
        <v>0.0507</v>
      </c>
      <c r="M12" s="335">
        <f>ค่าอำนวยการ!M156</f>
        <v>0.0507</v>
      </c>
      <c r="N12" s="335">
        <f>ค่าอำนวยการ!M157</f>
        <v>0.0418</v>
      </c>
      <c r="O12" s="845"/>
    </row>
    <row r="13" spans="1:15" ht="19.5" customHeight="1">
      <c r="A13" s="69" t="s">
        <v>703</v>
      </c>
      <c r="B13" s="70" t="s">
        <v>704</v>
      </c>
      <c r="C13" s="335">
        <f>ค่าอำนวยการ!G237</f>
        <v>0.8573000000000001</v>
      </c>
      <c r="D13" s="335">
        <f>ค่าอำนวยการ!G237</f>
        <v>0.8573000000000001</v>
      </c>
      <c r="E13" s="335">
        <f>ค่าอำนวยการ!G237</f>
        <v>0.8573000000000001</v>
      </c>
      <c r="F13" s="335">
        <f>ค่าอำนวยการ!G237</f>
        <v>0.8573000000000001</v>
      </c>
      <c r="G13" s="335">
        <f>ค่าอำนวยการ!G237</f>
        <v>0.8573000000000001</v>
      </c>
      <c r="H13" s="335">
        <f>ค่าอำนวยการ!G237</f>
        <v>0.8573000000000001</v>
      </c>
      <c r="I13" s="335">
        <f>ค่าอำนวยการ!G237</f>
        <v>0.8573000000000001</v>
      </c>
      <c r="J13" s="335">
        <f>ค่าอำนวยการ!G237</f>
        <v>0.8573000000000001</v>
      </c>
      <c r="K13" s="335">
        <f>ค่าอำนวยการ!G237</f>
        <v>0.8573000000000001</v>
      </c>
      <c r="L13" s="335">
        <f>ค่าอำนวยการ!G237</f>
        <v>0.8573000000000001</v>
      </c>
      <c r="M13" s="335">
        <f>ค่าอำนวยการ!G237</f>
        <v>0.8573000000000001</v>
      </c>
      <c r="N13" s="335">
        <f>ค่าอำนวยการ!G237</f>
        <v>0.8573000000000001</v>
      </c>
      <c r="O13" s="845"/>
    </row>
    <row r="14" spans="1:15" ht="19.5" customHeight="1">
      <c r="A14" s="69" t="s">
        <v>705</v>
      </c>
      <c r="B14" s="70" t="s">
        <v>706</v>
      </c>
      <c r="C14" s="335">
        <f>ค่าอำนวยการ!$G$242</f>
        <v>0.01</v>
      </c>
      <c r="D14" s="335">
        <f>ค่าอำนวยการ!$G$242</f>
        <v>0.01</v>
      </c>
      <c r="E14" s="335">
        <f>ค่าอำนวยการ!$G$242</f>
        <v>0.01</v>
      </c>
      <c r="F14" s="335">
        <f>ค่าอำนวยการ!$G$242</f>
        <v>0.01</v>
      </c>
      <c r="G14" s="335">
        <f>ค่าอำนวยการ!$G$242</f>
        <v>0.01</v>
      </c>
      <c r="H14" s="335">
        <f>ค่าอำนวยการ!$G$242</f>
        <v>0.01</v>
      </c>
      <c r="I14" s="335">
        <f>ค่าอำนวยการ!$G$242</f>
        <v>0.01</v>
      </c>
      <c r="J14" s="335">
        <f>ค่าอำนวยการ!$G$242</f>
        <v>0.01</v>
      </c>
      <c r="K14" s="335">
        <f>ค่าอำนวยการ!$G$242</f>
        <v>0.01</v>
      </c>
      <c r="L14" s="335">
        <f>ค่าอำนวยการ!$G$242</f>
        <v>0.01</v>
      </c>
      <c r="M14" s="335">
        <f>ค่าอำนวยการ!$G$242</f>
        <v>0.01</v>
      </c>
      <c r="N14" s="335">
        <f>ค่าอำนวยการ!$G$242</f>
        <v>0.01</v>
      </c>
      <c r="O14" s="845"/>
    </row>
    <row r="15" spans="1:15" ht="19.5" customHeight="1">
      <c r="A15" s="69" t="s">
        <v>707</v>
      </c>
      <c r="B15" s="70" t="s">
        <v>708</v>
      </c>
      <c r="C15" s="335">
        <f>ค่าอำนวยการ!G315</f>
        <v>0.3432</v>
      </c>
      <c r="D15" s="335">
        <f>ค่าอำนวยการ!G315</f>
        <v>0.3432</v>
      </c>
      <c r="E15" s="335">
        <f>ค่าอำนวยการ!G315</f>
        <v>0.3432</v>
      </c>
      <c r="F15" s="335">
        <f>ค่าอำนวยการ!G315</f>
        <v>0.3432</v>
      </c>
      <c r="G15" s="335">
        <f>ค่าอำนวยการ!G315</f>
        <v>0.3432</v>
      </c>
      <c r="H15" s="335">
        <f>ค่าอำนวยการ!G316</f>
        <v>0.1281</v>
      </c>
      <c r="I15" s="335">
        <f>ค่าอำนวยการ!G316</f>
        <v>0.1281</v>
      </c>
      <c r="J15" s="335">
        <f>ค่าอำนวยการ!G316</f>
        <v>0.1281</v>
      </c>
      <c r="K15" s="335">
        <f>ค่าอำนวยการ!G317</f>
        <v>0.0939</v>
      </c>
      <c r="L15" s="335">
        <f>ค่าอำนวยการ!G317</f>
        <v>0.0939</v>
      </c>
      <c r="M15" s="335">
        <f>ค่าอำนวยการ!G317</f>
        <v>0.0939</v>
      </c>
      <c r="N15" s="335">
        <f>ค่าอำนวยการ!G317</f>
        <v>0.0939</v>
      </c>
      <c r="O15" s="845"/>
    </row>
    <row r="16" spans="1:15" ht="19.5" customHeight="1">
      <c r="A16" s="69" t="s">
        <v>709</v>
      </c>
      <c r="B16" s="70" t="s">
        <v>710</v>
      </c>
      <c r="C16" s="335">
        <f>ค่าอำนวยการ!Q555</f>
        <v>3.4503</v>
      </c>
      <c r="D16" s="335">
        <f>ค่าอำนวยการ!Q556</f>
        <v>3.4503</v>
      </c>
      <c r="E16" s="335">
        <f>ค่าอำนวยการ!Q557</f>
        <v>3.1913</v>
      </c>
      <c r="F16" s="335">
        <f>ค่าอำนวยการ!Q558</f>
        <v>3.0618</v>
      </c>
      <c r="G16" s="335">
        <f>ค่าอำนวยการ!Q559</f>
        <v>2.9840999999999998</v>
      </c>
      <c r="H16" s="335">
        <f>ค่าอำนวยการ!Q560</f>
        <v>0.5702</v>
      </c>
      <c r="I16" s="335">
        <f>ค่าอำนวยการ!Q561</f>
        <v>0.5508</v>
      </c>
      <c r="J16" s="335">
        <f>ค่าอำนวยการ!Q562</f>
        <v>0.5508</v>
      </c>
      <c r="K16" s="335">
        <f>ค่าอำนวยการ!Q563</f>
        <v>0.5698</v>
      </c>
      <c r="L16" s="335">
        <f>ค่าอำนวยการ!Q564</f>
        <v>0.5698</v>
      </c>
      <c r="M16" s="335">
        <f>ค่าอำนวยการ!Q565</f>
        <v>0.5546</v>
      </c>
      <c r="N16" s="335">
        <f>ค่าอำนวยการ!Q566</f>
        <v>0.406</v>
      </c>
      <c r="O16" s="845"/>
    </row>
    <row r="17" spans="1:15" s="80" customFormat="1" ht="19.5" customHeight="1">
      <c r="A17" s="77" t="s">
        <v>711</v>
      </c>
      <c r="B17" s="78" t="s">
        <v>712</v>
      </c>
      <c r="C17" s="337">
        <f>ค่าอำนวยการ!Q936</f>
        <v>2.7389</v>
      </c>
      <c r="D17" s="337">
        <f>ค่าอำนวยการ!Q937</f>
        <v>2.7389</v>
      </c>
      <c r="E17" s="337">
        <f>ค่าอำนวยการ!Q938</f>
        <v>2.7389</v>
      </c>
      <c r="F17" s="337">
        <f>ค่าอำนวยการ!Q939</f>
        <v>2.7389</v>
      </c>
      <c r="G17" s="337">
        <f>ค่าอำนวยการ!Q940</f>
        <v>2.7389</v>
      </c>
      <c r="H17" s="337">
        <f>ค่าอำนวยการ!Q941</f>
        <v>1.8646</v>
      </c>
      <c r="I17" s="337">
        <f>ค่าอำนวยการ!Q942</f>
        <v>1.8646</v>
      </c>
      <c r="J17" s="337">
        <f>ค่าอำนวยการ!Q943</f>
        <v>1.8646</v>
      </c>
      <c r="K17" s="337">
        <f>ค่าอำนวยการ!Q944</f>
        <v>1.4289</v>
      </c>
      <c r="L17" s="337">
        <f>ค่าอำนวยการ!Q948</f>
        <v>1.2352</v>
      </c>
      <c r="M17" s="337">
        <f>ค่าอำนวยการ!Q949</f>
        <v>1.2352</v>
      </c>
      <c r="N17" s="337">
        <f>ค่าอำนวยการ!Q950</f>
        <v>1.158</v>
      </c>
      <c r="O17" s="845"/>
    </row>
    <row r="18" spans="1:15" ht="19.5" customHeight="1">
      <c r="A18" s="69" t="s">
        <v>713</v>
      </c>
      <c r="B18" s="70" t="s">
        <v>714</v>
      </c>
      <c r="C18" s="335">
        <f>ค่าอำนวยการ!Q983</f>
        <v>0.036000000000000004</v>
      </c>
      <c r="D18" s="335">
        <f>ค่าอำนวยการ!Q984</f>
        <v>0.036000000000000004</v>
      </c>
      <c r="E18" s="335">
        <f>ค่าอำนวยการ!Q985</f>
        <v>0.036000000000000004</v>
      </c>
      <c r="F18" s="335">
        <f>ค่าอำนวยการ!Q986</f>
        <v>0.036000000000000004</v>
      </c>
      <c r="G18" s="335">
        <f>ค่าอำนวยการ!Q987</f>
        <v>0.036000000000000004</v>
      </c>
      <c r="H18" s="335">
        <f>ค่าอำนวยการ!Q988</f>
        <v>0.036000000000000004</v>
      </c>
      <c r="I18" s="335">
        <f>ค่าอำนวยการ!Q989</f>
        <v>0.036000000000000004</v>
      </c>
      <c r="J18" s="335">
        <f>ค่าอำนวยการ!Q990</f>
        <v>0.036000000000000004</v>
      </c>
      <c r="K18" s="335">
        <f>ค่าอำนวยการ!Q991</f>
        <v>0.036000000000000004</v>
      </c>
      <c r="L18" s="335">
        <f>ค่าอำนวยการ!Q992</f>
        <v>0.036000000000000004</v>
      </c>
      <c r="M18" s="335">
        <f>ค่าอำนวยการ!Q993</f>
        <v>0.036000000000000004</v>
      </c>
      <c r="N18" s="335">
        <f>ค่าอำนวยการ!Q994</f>
        <v>0.036000000000000004</v>
      </c>
      <c r="O18" s="845"/>
    </row>
    <row r="19" spans="1:15" ht="19.5" customHeight="1">
      <c r="A19" s="69" t="s">
        <v>715</v>
      </c>
      <c r="B19" s="70" t="s">
        <v>716</v>
      </c>
      <c r="C19" s="335">
        <f>ค่าอำนวยการ!E1084</f>
        <v>0.2313</v>
      </c>
      <c r="D19" s="335">
        <f>ค่าอำนวยการ!E1085</f>
        <v>0.2313</v>
      </c>
      <c r="E19" s="335">
        <f>ค่าอำนวยการ!E1086</f>
        <v>0.2313</v>
      </c>
      <c r="F19" s="335">
        <f>ค่าอำนวยการ!E1087</f>
        <v>0.2313</v>
      </c>
      <c r="G19" s="335">
        <f>ค่าอำนวยการ!E1088</f>
        <v>0.09</v>
      </c>
      <c r="H19" s="335">
        <f>ค่าอำนวยการ!E1089</f>
        <v>0.0722</v>
      </c>
      <c r="I19" s="335">
        <f>ค่าอำนวยการ!E1090</f>
        <v>0.0722</v>
      </c>
      <c r="J19" s="335">
        <f>ค่าอำนวยการ!E1091</f>
        <v>0.0505</v>
      </c>
      <c r="K19" s="335">
        <f>ค่าอำนวยการ!E1092</f>
        <v>0.0505</v>
      </c>
      <c r="L19" s="335">
        <f>ค่าอำนวยการ!E1093</f>
        <v>0.0505</v>
      </c>
      <c r="M19" s="335">
        <f>ค่าอำนวยการ!E1094</f>
        <v>0.0505</v>
      </c>
      <c r="N19" s="335">
        <f>ค่าอำนวยการ!E1095</f>
        <v>0.0505</v>
      </c>
      <c r="O19" s="845"/>
    </row>
    <row r="20" spans="1:15" s="68" customFormat="1" ht="19.5" customHeight="1">
      <c r="A20" s="74">
        <v>1.3</v>
      </c>
      <c r="B20" s="75" t="s">
        <v>717</v>
      </c>
      <c r="C20" s="338" t="s">
        <v>562</v>
      </c>
      <c r="D20" s="338" t="s">
        <v>562</v>
      </c>
      <c r="E20" s="338"/>
      <c r="F20" s="338" t="s">
        <v>562</v>
      </c>
      <c r="G20" s="338" t="s">
        <v>562</v>
      </c>
      <c r="H20" s="338" t="s">
        <v>562</v>
      </c>
      <c r="I20" s="338" t="s">
        <v>562</v>
      </c>
      <c r="J20" s="338" t="s">
        <v>562</v>
      </c>
      <c r="K20" s="338" t="s">
        <v>562</v>
      </c>
      <c r="L20" s="338" t="s">
        <v>562</v>
      </c>
      <c r="M20" s="338" t="s">
        <v>562</v>
      </c>
      <c r="N20" s="338" t="s">
        <v>562</v>
      </c>
      <c r="O20" s="845"/>
    </row>
    <row r="21" spans="1:15" ht="19.5" customHeight="1">
      <c r="A21" s="69" t="s">
        <v>718</v>
      </c>
      <c r="B21" s="70" t="s">
        <v>719</v>
      </c>
      <c r="C21" s="335">
        <f>ค่าอำนวยการ!E1219</f>
        <v>3.3</v>
      </c>
      <c r="D21" s="335">
        <f>ค่าอำนวยการ!E1220</f>
        <v>3.3</v>
      </c>
      <c r="E21" s="335">
        <f>ค่าอำนวยการ!E1221</f>
        <v>3.3</v>
      </c>
      <c r="F21" s="335">
        <f>ค่าอำนวยการ!E1222</f>
        <v>3.3</v>
      </c>
      <c r="G21" s="335">
        <f>ค่าอำนวยการ!E1223</f>
        <v>3.3</v>
      </c>
      <c r="H21" s="335">
        <f>ค่าอำนวยการ!E1224</f>
        <v>3.4475</v>
      </c>
      <c r="I21" s="335">
        <f>ค่าอำนวยการ!E1225</f>
        <v>3.4475</v>
      </c>
      <c r="J21" s="335">
        <f>ค่าอำนวยการ!E1226</f>
        <v>3.4475</v>
      </c>
      <c r="K21" s="335">
        <f>ค่าอำนวยการ!E1227</f>
        <v>3.2365</v>
      </c>
      <c r="L21" s="335">
        <f>ค่าอำนวยการ!E1228</f>
        <v>3.2365</v>
      </c>
      <c r="M21" s="335">
        <f>ค่าอำนวยการ!E1229</f>
        <v>3.2365</v>
      </c>
      <c r="N21" s="335">
        <f>ค่าอำนวยการ!E1230</f>
        <v>3.0471</v>
      </c>
      <c r="O21" s="845"/>
    </row>
    <row r="22" spans="1:15" s="68" customFormat="1" ht="19.5" customHeight="1">
      <c r="A22" s="82">
        <v>1.4</v>
      </c>
      <c r="B22" s="83" t="s">
        <v>720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845"/>
    </row>
    <row r="23" spans="1:15" s="80" customFormat="1" ht="19.5" customHeight="1">
      <c r="A23" s="77" t="s">
        <v>721</v>
      </c>
      <c r="B23" s="78" t="s">
        <v>722</v>
      </c>
      <c r="C23" s="340">
        <f>ค่าอำนวยการ!$E$1237</f>
        <v>0.3</v>
      </c>
      <c r="D23" s="340">
        <f>ค่าอำนวยการ!$E$1237</f>
        <v>0.3</v>
      </c>
      <c r="E23" s="340">
        <f>ค่าอำนวยการ!$E$1237</f>
        <v>0.3</v>
      </c>
      <c r="F23" s="340">
        <f>ค่าอำนวยการ!$E$1237</f>
        <v>0.3</v>
      </c>
      <c r="G23" s="340">
        <f>ค่าอำนวยการ!$E$1237</f>
        <v>0.3</v>
      </c>
      <c r="H23" s="340">
        <f>ค่าอำนวยการ!$E$1237</f>
        <v>0.3</v>
      </c>
      <c r="I23" s="340">
        <f>ค่าอำนวยการ!$E$1237</f>
        <v>0.3</v>
      </c>
      <c r="J23" s="340">
        <f>ค่าอำนวยการ!$E$1237</f>
        <v>0.3</v>
      </c>
      <c r="K23" s="340">
        <f>ค่าอำนวยการ!$E$1237</f>
        <v>0.3</v>
      </c>
      <c r="L23" s="340">
        <f>ค่าอำนวยการ!$E$1237</f>
        <v>0.3</v>
      </c>
      <c r="M23" s="340">
        <f>ค่าอำนวยการ!$E$1237</f>
        <v>0.3</v>
      </c>
      <c r="N23" s="340">
        <f>ค่าอำนวยการ!$E$1237</f>
        <v>0.3</v>
      </c>
      <c r="O23" s="845"/>
    </row>
    <row r="24" spans="1:15" ht="19.5" customHeight="1">
      <c r="A24" s="86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45"/>
    </row>
    <row r="25" spans="1:15" ht="19.5" customHeight="1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45"/>
    </row>
    <row r="26" spans="1:15" ht="19.5" customHeight="1">
      <c r="A26" s="86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45"/>
    </row>
    <row r="27" spans="1:15" s="68" customFormat="1" ht="19.5" customHeight="1">
      <c r="A27" s="89"/>
      <c r="B27" s="90" t="s">
        <v>723</v>
      </c>
      <c r="C27" s="91">
        <f>SUM(C6:C23)</f>
        <v>12.266000000000002</v>
      </c>
      <c r="D27" s="91">
        <f aca="true" t="shared" si="0" ref="D27:N27">SUM(D6:D23)</f>
        <v>12.266000000000002</v>
      </c>
      <c r="E27" s="91">
        <f t="shared" si="0"/>
        <v>12.0383</v>
      </c>
      <c r="F27" s="91">
        <f t="shared" si="0"/>
        <v>11.940000000000001</v>
      </c>
      <c r="G27" s="91">
        <f t="shared" si="0"/>
        <v>11.752299999999998</v>
      </c>
      <c r="H27" s="91">
        <f t="shared" si="0"/>
        <v>8.1313</v>
      </c>
      <c r="I27" s="91">
        <f t="shared" si="0"/>
        <v>8.1223</v>
      </c>
      <c r="J27" s="91">
        <f t="shared" si="0"/>
        <v>8.1006</v>
      </c>
      <c r="K27" s="91">
        <f t="shared" si="0"/>
        <v>7.4491000000000005</v>
      </c>
      <c r="L27" s="91">
        <f t="shared" si="0"/>
        <v>7.2250000000000005</v>
      </c>
      <c r="M27" s="91">
        <f t="shared" si="0"/>
        <v>7.220199999999999</v>
      </c>
      <c r="N27" s="91">
        <f t="shared" si="0"/>
        <v>6.7961</v>
      </c>
      <c r="O27" s="845"/>
    </row>
    <row r="28" spans="1:15" ht="10.5" customHeight="1">
      <c r="A28" s="92"/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845"/>
    </row>
    <row r="29" spans="2:15" ht="24" customHeight="1">
      <c r="B29" s="851" t="s">
        <v>724</v>
      </c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45"/>
    </row>
    <row r="30" spans="1:15" ht="30" customHeight="1">
      <c r="A30" s="844" t="s">
        <v>686</v>
      </c>
      <c r="B30" s="844"/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5" t="s">
        <v>725</v>
      </c>
    </row>
    <row r="31" spans="1:15" s="61" customFormat="1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95" t="s">
        <v>726</v>
      </c>
      <c r="N31" s="59"/>
      <c r="O31" s="845"/>
    </row>
    <row r="32" spans="1:15" s="63" customFormat="1" ht="24.75" customHeight="1">
      <c r="A32" s="62">
        <v>1</v>
      </c>
      <c r="B32" s="62" t="s">
        <v>727</v>
      </c>
      <c r="O32" s="845"/>
    </row>
    <row r="33" spans="1:15" ht="19.5" customHeight="1">
      <c r="A33" s="846" t="s">
        <v>496</v>
      </c>
      <c r="B33" s="846" t="s">
        <v>497</v>
      </c>
      <c r="C33" s="848" t="s">
        <v>690</v>
      </c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50"/>
      <c r="O33" s="845"/>
    </row>
    <row r="34" spans="1:15" ht="19.5" customHeight="1">
      <c r="A34" s="847"/>
      <c r="B34" s="847"/>
      <c r="C34" s="64">
        <v>70</v>
      </c>
      <c r="D34" s="64">
        <v>80</v>
      </c>
      <c r="E34" s="64">
        <v>90</v>
      </c>
      <c r="F34" s="64">
        <v>100</v>
      </c>
      <c r="G34" s="64">
        <v>150</v>
      </c>
      <c r="H34" s="64">
        <v>200</v>
      </c>
      <c r="I34" s="64">
        <v>250</v>
      </c>
      <c r="J34" s="64">
        <v>300</v>
      </c>
      <c r="K34" s="64">
        <v>350</v>
      </c>
      <c r="L34" s="64">
        <v>400</v>
      </c>
      <c r="M34" s="64">
        <v>500</v>
      </c>
      <c r="N34" s="64">
        <v>1000</v>
      </c>
      <c r="O34" s="845"/>
    </row>
    <row r="35" spans="1:15" s="68" customFormat="1" ht="19.5" customHeight="1">
      <c r="A35" s="65">
        <v>1.1</v>
      </c>
      <c r="B35" s="66" t="s">
        <v>691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845"/>
    </row>
    <row r="36" spans="1:15" ht="19.5" customHeight="1">
      <c r="A36" s="69" t="s">
        <v>692</v>
      </c>
      <c r="B36" s="70" t="s">
        <v>693</v>
      </c>
      <c r="C36" s="71">
        <f>ค่าอำนวยการ!Q21</f>
        <v>0.2083</v>
      </c>
      <c r="D36" s="71">
        <f>ค่าอำนวยการ!Q22</f>
        <v>0.2083</v>
      </c>
      <c r="E36" s="71">
        <f>ค่าอำนวยการ!Q23</f>
        <v>0.2083</v>
      </c>
      <c r="F36" s="71">
        <f>ค่าอำนวยการ!Q24</f>
        <v>0.2083</v>
      </c>
      <c r="G36" s="71">
        <f>ค่าอำนวยการ!Q25</f>
        <v>0.2292</v>
      </c>
      <c r="H36" s="71">
        <f>ค่าอำนวยการ!Q26</f>
        <v>0.25</v>
      </c>
      <c r="I36" s="71">
        <f>ค่าอำนวยการ!Q29</f>
        <v>0.2917</v>
      </c>
      <c r="J36" s="71">
        <f>ค่าอำนวยการ!Q30</f>
        <v>0.3125</v>
      </c>
      <c r="K36" s="71">
        <f>ค่าอำนวยการ!Q31</f>
        <v>0.3333</v>
      </c>
      <c r="L36" s="71">
        <f>ค่าอำนวยการ!Q32</f>
        <v>0.375</v>
      </c>
      <c r="M36" s="71">
        <f>ค่าอำนวยการ!Q33</f>
        <v>0.375</v>
      </c>
      <c r="N36" s="71">
        <f>ค่าอำนวยการ!Q34</f>
        <v>0.4167</v>
      </c>
      <c r="O36" s="845"/>
    </row>
    <row r="37" spans="1:15" ht="19.5" customHeight="1">
      <c r="A37" s="69" t="s">
        <v>694</v>
      </c>
      <c r="B37" s="70" t="s">
        <v>695</v>
      </c>
      <c r="C37" s="335">
        <f>ค่าอำนวยการ!$Q$40</f>
        <v>0.25</v>
      </c>
      <c r="D37" s="335">
        <f>ค่าอำนวยการ!$Q$40</f>
        <v>0.25</v>
      </c>
      <c r="E37" s="335">
        <f>ค่าอำนวยการ!$Q$40</f>
        <v>0.25</v>
      </c>
      <c r="F37" s="335">
        <f>ค่าอำนวยการ!$Q$40</f>
        <v>0.25</v>
      </c>
      <c r="G37" s="335">
        <f>ค่าอำนวยการ!$Q$40</f>
        <v>0.25</v>
      </c>
      <c r="H37" s="335">
        <f>ค่าอำนวยการ!$Q$40</f>
        <v>0.25</v>
      </c>
      <c r="I37" s="335">
        <f>ค่าอำนวยการ!$Q$40</f>
        <v>0.25</v>
      </c>
      <c r="J37" s="335">
        <f>ค่าอำนวยการ!$Q$40</f>
        <v>0.25</v>
      </c>
      <c r="K37" s="335">
        <f>ค่าอำนวยการ!$Q$40</f>
        <v>0.25</v>
      </c>
      <c r="L37" s="335">
        <f>ค่าอำนวยการ!$Q$40</f>
        <v>0.25</v>
      </c>
      <c r="M37" s="335">
        <f>ค่าอำนวยการ!$Q$40</f>
        <v>0.25</v>
      </c>
      <c r="N37" s="335">
        <f>ค่าอำนวยการ!$Q$40</f>
        <v>0.25</v>
      </c>
      <c r="O37" s="845"/>
    </row>
    <row r="38" spans="1:15" ht="19.5" customHeight="1">
      <c r="A38" s="69" t="s">
        <v>696</v>
      </c>
      <c r="B38" s="72" t="s">
        <v>697</v>
      </c>
      <c r="C38" s="335">
        <f>ค่าอำนวยการ!$Q$44</f>
        <v>0.1</v>
      </c>
      <c r="D38" s="335">
        <f>ค่าอำนวยการ!$Q$44</f>
        <v>0.1</v>
      </c>
      <c r="E38" s="335">
        <f>ค่าอำนวยการ!$Q$44</f>
        <v>0.1</v>
      </c>
      <c r="F38" s="335">
        <f>ค่าอำนวยการ!$Q$44</f>
        <v>0.1</v>
      </c>
      <c r="G38" s="335">
        <f>ค่าอำนวยการ!$Q$44</f>
        <v>0.1</v>
      </c>
      <c r="H38" s="335">
        <f>ค่าอำนวยการ!$Q$44</f>
        <v>0.1</v>
      </c>
      <c r="I38" s="335">
        <f>ค่าอำนวยการ!$Q$44</f>
        <v>0.1</v>
      </c>
      <c r="J38" s="335">
        <f>ค่าอำนวยการ!$Q$44</f>
        <v>0.1</v>
      </c>
      <c r="K38" s="335">
        <f>ค่าอำนวยการ!$Q$44</f>
        <v>0.1</v>
      </c>
      <c r="L38" s="335">
        <f>ค่าอำนวยการ!$Q$44</f>
        <v>0.1</v>
      </c>
      <c r="M38" s="335">
        <f>ค่าอำนวยการ!$Q$44</f>
        <v>0.1</v>
      </c>
      <c r="N38" s="335">
        <f>ค่าอำนวยการ!$Q$44</f>
        <v>0.1</v>
      </c>
      <c r="O38" s="845"/>
    </row>
    <row r="39" spans="1:15" ht="19.5" customHeight="1">
      <c r="A39" s="69" t="s">
        <v>698</v>
      </c>
      <c r="B39" s="70" t="s">
        <v>728</v>
      </c>
      <c r="C39" s="335">
        <f>ค่าอำนวยการ!$Q$53</f>
        <v>0.258</v>
      </c>
      <c r="D39" s="335">
        <f>ค่าอำนวยการ!$Q$53</f>
        <v>0.258</v>
      </c>
      <c r="E39" s="335">
        <f>ค่าอำนวยการ!$Q$53</f>
        <v>0.258</v>
      </c>
      <c r="F39" s="335">
        <f>ค่าอำนวยการ!$Q$53</f>
        <v>0.258</v>
      </c>
      <c r="G39" s="335">
        <f>ค่าอำนวยการ!$Q$53</f>
        <v>0.258</v>
      </c>
      <c r="H39" s="335">
        <f>ค่าอำนวยการ!$Q$53</f>
        <v>0.258</v>
      </c>
      <c r="I39" s="335">
        <f>ค่าอำนวยการ!$Q$53</f>
        <v>0.258</v>
      </c>
      <c r="J39" s="335">
        <f>ค่าอำนวยการ!$Q$53</f>
        <v>0.258</v>
      </c>
      <c r="K39" s="335">
        <f>ค่าอำนวยการ!$Q$53</f>
        <v>0.258</v>
      </c>
      <c r="L39" s="335">
        <f>ค่าอำนวยการ!$Q$53</f>
        <v>0.258</v>
      </c>
      <c r="M39" s="335">
        <f>ค่าอำนวยการ!$Q$53</f>
        <v>0.258</v>
      </c>
      <c r="N39" s="335">
        <f>ค่าอำนวยการ!$Q$53</f>
        <v>0.258</v>
      </c>
      <c r="O39" s="845"/>
    </row>
    <row r="40" spans="1:15" s="68" customFormat="1" ht="19.5" customHeight="1">
      <c r="A40" s="74">
        <v>1.2</v>
      </c>
      <c r="B40" s="75" t="s">
        <v>700</v>
      </c>
      <c r="C40" s="76" t="s">
        <v>562</v>
      </c>
      <c r="D40" s="76" t="s">
        <v>562</v>
      </c>
      <c r="E40" s="76"/>
      <c r="F40" s="76" t="s">
        <v>562</v>
      </c>
      <c r="G40" s="76" t="s">
        <v>562</v>
      </c>
      <c r="H40" s="76" t="s">
        <v>562</v>
      </c>
      <c r="I40" s="76" t="s">
        <v>562</v>
      </c>
      <c r="J40" s="76" t="s">
        <v>562</v>
      </c>
      <c r="K40" s="76" t="s">
        <v>562</v>
      </c>
      <c r="L40" s="76" t="s">
        <v>562</v>
      </c>
      <c r="M40" s="76" t="s">
        <v>562</v>
      </c>
      <c r="N40" s="76" t="s">
        <v>562</v>
      </c>
      <c r="O40" s="845"/>
    </row>
    <row r="41" spans="1:15" ht="19.5" customHeight="1">
      <c r="A41" s="69" t="s">
        <v>701</v>
      </c>
      <c r="B41" s="70" t="s">
        <v>702</v>
      </c>
      <c r="C41" s="71">
        <f>ค่าอำนวยการ!$M$157</f>
        <v>0.0418</v>
      </c>
      <c r="D41" s="71">
        <f>ค่าอำนวยการ!$M$157</f>
        <v>0.0418</v>
      </c>
      <c r="E41" s="71">
        <f>ค่าอำนวยการ!M158</f>
        <v>0.0403</v>
      </c>
      <c r="F41" s="71">
        <f>ค่าอำนวยการ!M158</f>
        <v>0.0403</v>
      </c>
      <c r="G41" s="71">
        <f>ค่าอำนวยการ!M159</f>
        <v>0.0305</v>
      </c>
      <c r="H41" s="71">
        <f>ค่าอำนวยการ!M159</f>
        <v>0.0305</v>
      </c>
      <c r="I41" s="71">
        <f>ค่าอำนวยการ!M159</f>
        <v>0.0305</v>
      </c>
      <c r="J41" s="71">
        <f>ค่าอำนวยการ!M159</f>
        <v>0.0305</v>
      </c>
      <c r="K41" s="71">
        <f>ค่าอำนวยการ!M160</f>
        <v>0.0236</v>
      </c>
      <c r="L41" s="71">
        <f>ค่าอำนวยการ!M160</f>
        <v>0.0236</v>
      </c>
      <c r="M41" s="71">
        <f>ค่าอำนวยการ!M160</f>
        <v>0.0236</v>
      </c>
      <c r="N41" s="71">
        <f>ค่าอำนวยการ!M160</f>
        <v>0.0236</v>
      </c>
      <c r="O41" s="845"/>
    </row>
    <row r="42" spans="1:15" ht="19.5" customHeight="1">
      <c r="A42" s="69" t="s">
        <v>703</v>
      </c>
      <c r="B42" s="70" t="s">
        <v>704</v>
      </c>
      <c r="C42" s="71">
        <f>ค่าอำนวยการ!G237</f>
        <v>0.8573000000000001</v>
      </c>
      <c r="D42" s="71">
        <f>ค่าอำนวยการ!G237</f>
        <v>0.8573000000000001</v>
      </c>
      <c r="E42" s="71">
        <f>ค่าอำนวยการ!G238</f>
        <v>0.6242000000000001</v>
      </c>
      <c r="F42" s="71">
        <f>ค่าอำนวยการ!G238</f>
        <v>0.6242000000000001</v>
      </c>
      <c r="G42" s="71">
        <f>ค่าอำนวยการ!G238</f>
        <v>0.6242000000000001</v>
      </c>
      <c r="H42" s="71">
        <f>ค่าอำนวยการ!G238</f>
        <v>0.6242000000000001</v>
      </c>
      <c r="I42" s="71">
        <f>ค่าอำนวยการ!G239</f>
        <v>0.359</v>
      </c>
      <c r="J42" s="71">
        <f>ค่าอำนวยการ!G239</f>
        <v>0.359</v>
      </c>
      <c r="K42" s="71">
        <f>ค่าอำนวยการ!G239</f>
        <v>0.359</v>
      </c>
      <c r="L42" s="71">
        <f>ค่าอำนวยการ!G239</f>
        <v>0.359</v>
      </c>
      <c r="M42" s="71">
        <f>ค่าอำนวยการ!G239</f>
        <v>0.359</v>
      </c>
      <c r="N42" s="71">
        <f>ค่าอำนวยการ!G239</f>
        <v>0.359</v>
      </c>
      <c r="O42" s="845"/>
    </row>
    <row r="43" spans="1:15" ht="19.5" customHeight="1">
      <c r="A43" s="69" t="s">
        <v>705</v>
      </c>
      <c r="B43" s="70" t="s">
        <v>706</v>
      </c>
      <c r="C43" s="335">
        <f>ค่าอำนวยการ!$G$242</f>
        <v>0.01</v>
      </c>
      <c r="D43" s="335">
        <f>ค่าอำนวยการ!$G$242</f>
        <v>0.01</v>
      </c>
      <c r="E43" s="335">
        <f>ค่าอำนวยการ!$G$242</f>
        <v>0.01</v>
      </c>
      <c r="F43" s="335">
        <f>ค่าอำนวยการ!$G$242</f>
        <v>0.01</v>
      </c>
      <c r="G43" s="335">
        <f>ค่าอำนวยการ!$G$242</f>
        <v>0.01</v>
      </c>
      <c r="H43" s="335">
        <f>ค่าอำนวยการ!$G$242</f>
        <v>0.01</v>
      </c>
      <c r="I43" s="335">
        <f>ค่าอำนวยการ!$G$242</f>
        <v>0.01</v>
      </c>
      <c r="J43" s="335">
        <f>ค่าอำนวยการ!$G$242</f>
        <v>0.01</v>
      </c>
      <c r="K43" s="335">
        <f>ค่าอำนวยการ!$G$242</f>
        <v>0.01</v>
      </c>
      <c r="L43" s="335">
        <f>ค่าอำนวยการ!$G$242</f>
        <v>0.01</v>
      </c>
      <c r="M43" s="335">
        <f>ค่าอำนวยการ!$G$242</f>
        <v>0.01</v>
      </c>
      <c r="N43" s="335">
        <f>ค่าอำนวยการ!$G$242</f>
        <v>0.01</v>
      </c>
      <c r="O43" s="845"/>
    </row>
    <row r="44" spans="1:15" ht="19.5" customHeight="1">
      <c r="A44" s="69" t="s">
        <v>707</v>
      </c>
      <c r="B44" s="70" t="s">
        <v>708</v>
      </c>
      <c r="C44" s="71">
        <f>ค่าอำนวยการ!G317</f>
        <v>0.0939</v>
      </c>
      <c r="D44" s="71">
        <f>ค่าอำนวยการ!G317</f>
        <v>0.0939</v>
      </c>
      <c r="E44" s="71">
        <f>ค่าอำนวยการ!G317</f>
        <v>0.0939</v>
      </c>
      <c r="F44" s="71">
        <f>ค่าอำนวยการ!G317</f>
        <v>0.0939</v>
      </c>
      <c r="G44" s="71">
        <f>ค่าอำนวยการ!G318</f>
        <v>0.0752</v>
      </c>
      <c r="H44" s="71">
        <f>ค่าอำนวยการ!G318</f>
        <v>0.0752</v>
      </c>
      <c r="I44" s="71">
        <f>ค่าอำนวยการ!G318</f>
        <v>0.0752</v>
      </c>
      <c r="J44" s="71">
        <f>ค่าอำนวยการ!G319</f>
        <v>0.0726</v>
      </c>
      <c r="K44" s="71">
        <f>ค่าอำนวยการ!G319</f>
        <v>0.0726</v>
      </c>
      <c r="L44" s="71">
        <f>ค่าอำนวยการ!G319</f>
        <v>0.0726</v>
      </c>
      <c r="M44" s="71">
        <f>ค่าอำนวยการ!G319</f>
        <v>0.0726</v>
      </c>
      <c r="N44" s="71">
        <f>ค่าอำนวยการ!G320</f>
        <v>0.0583</v>
      </c>
      <c r="O44" s="845"/>
    </row>
    <row r="45" spans="1:15" ht="19.5" customHeight="1">
      <c r="A45" s="69" t="s">
        <v>709</v>
      </c>
      <c r="B45" s="70" t="s">
        <v>710</v>
      </c>
      <c r="C45" s="71">
        <f>ค่าอำนวยการ!Q570</f>
        <v>0.3801</v>
      </c>
      <c r="D45" s="71">
        <f>ค่าอำนวยการ!Q571</f>
        <v>0.3801</v>
      </c>
      <c r="E45" s="71">
        <f>ค่าอำนวยการ!Q572</f>
        <v>0.3801</v>
      </c>
      <c r="F45" s="71">
        <f>ค่าอำนวยการ!Q573</f>
        <v>0.3801</v>
      </c>
      <c r="G45" s="71">
        <f>ค่าอำนวยการ!Q574</f>
        <v>0.2821</v>
      </c>
      <c r="H45" s="71">
        <f>ค่าอำนวยการ!Q575</f>
        <v>0.2645</v>
      </c>
      <c r="I45" s="71">
        <f>ค่าอำนวยการ!Q576</f>
        <v>0.23670000000000002</v>
      </c>
      <c r="J45" s="71">
        <f>ค่าอำนวยการ!Q577</f>
        <v>0.22560000000000002</v>
      </c>
      <c r="K45" s="71">
        <f>ค่าอำนวยการ!Q578</f>
        <v>0.1876</v>
      </c>
      <c r="L45" s="71">
        <f>ค่าอำนวยการ!Q579</f>
        <v>0.1714</v>
      </c>
      <c r="M45" s="71">
        <f>ค่าอำนวยการ!Q580</f>
        <v>0.1714</v>
      </c>
      <c r="N45" s="71">
        <f>ค่าอำนวยการ!Q581</f>
        <v>0.1465</v>
      </c>
      <c r="O45" s="845"/>
    </row>
    <row r="46" spans="1:15" ht="19.5" customHeight="1">
      <c r="A46" s="77" t="s">
        <v>711</v>
      </c>
      <c r="B46" s="78" t="s">
        <v>712</v>
      </c>
      <c r="C46" s="79">
        <f>ค่าอำนวยการ!Q951</f>
        <v>1.158</v>
      </c>
      <c r="D46" s="79">
        <f>ค่าอำนวยการ!Q952</f>
        <v>1.158</v>
      </c>
      <c r="E46" s="79">
        <f>ค่าอำนวยการ!Q953</f>
        <v>1.158</v>
      </c>
      <c r="F46" s="79">
        <f>ค่าอำนวยการ!Q954</f>
        <v>1.158</v>
      </c>
      <c r="G46" s="79">
        <f>ค่าอำนวยการ!Q955</f>
        <v>1.1598</v>
      </c>
      <c r="H46" s="79">
        <f>ค่าอำนวยการ!Q956</f>
        <v>1.1460000000000001</v>
      </c>
      <c r="I46" s="79">
        <f>ค่าอำนวยการ!Q957</f>
        <v>1.1460000000000001</v>
      </c>
      <c r="J46" s="79">
        <f>ค่าอำนวยการ!Q958</f>
        <v>1.1460000000000001</v>
      </c>
      <c r="K46" s="79">
        <f>ค่าอำนวยการ!Q959</f>
        <v>1.1496</v>
      </c>
      <c r="L46" s="79">
        <f>ค่าอำนวยการ!Q960</f>
        <v>1.099</v>
      </c>
      <c r="M46" s="79">
        <f>ค่าอำนวยการ!Q961</f>
        <v>1.099</v>
      </c>
      <c r="N46" s="79">
        <f>ค่าอำนวยการ!Q962</f>
        <v>1.0348</v>
      </c>
      <c r="O46" s="845"/>
    </row>
    <row r="47" spans="1:15" ht="19.5" customHeight="1">
      <c r="A47" s="69" t="s">
        <v>713</v>
      </c>
      <c r="B47" s="70" t="s">
        <v>714</v>
      </c>
      <c r="C47" s="71">
        <f>ค่าอำนวยการ!Q995</f>
        <v>0.036000000000000004</v>
      </c>
      <c r="D47" s="71">
        <f>ค่าอำนวยการ!Q996</f>
        <v>0.036000000000000004</v>
      </c>
      <c r="E47" s="71">
        <f>ค่าอำนวยการ!Q997</f>
        <v>0.036000000000000004</v>
      </c>
      <c r="F47" s="71">
        <f>ค่าอำนวยการ!Q998</f>
        <v>0.036000000000000004</v>
      </c>
      <c r="G47" s="71">
        <f>ค่าอำนวยการ!Q1002</f>
        <v>0.036000000000000004</v>
      </c>
      <c r="H47" s="71">
        <f>ค่าอำนวยการ!Q1003</f>
        <v>0.036000000000000004</v>
      </c>
      <c r="I47" s="71">
        <f>ค่าอำนวยการ!Q1004</f>
        <v>0.036000000000000004</v>
      </c>
      <c r="J47" s="71">
        <f>ค่าอำนวยการ!Q1005</f>
        <v>0.036000000000000004</v>
      </c>
      <c r="K47" s="71">
        <f>ค่าอำนวยการ!Q1006</f>
        <v>0.036000000000000004</v>
      </c>
      <c r="L47" s="71">
        <f>ค่าอำนวยการ!Q1007</f>
        <v>0.036000000000000004</v>
      </c>
      <c r="M47" s="71">
        <f>ค่าอำนวยการ!Q1008</f>
        <v>0.036000000000000004</v>
      </c>
      <c r="N47" s="71">
        <f>ค่าอำนวยการ!Q1009</f>
        <v>0.036000000000000004</v>
      </c>
      <c r="O47" s="845"/>
    </row>
    <row r="48" spans="1:15" ht="19.5" customHeight="1">
      <c r="A48" s="69" t="s">
        <v>715</v>
      </c>
      <c r="B48" s="70" t="s">
        <v>716</v>
      </c>
      <c r="C48" s="71">
        <f>ค่าอำนวยการ!M1084</f>
        <v>0.0353</v>
      </c>
      <c r="D48" s="71">
        <f>ค่าอำนวยการ!M1085</f>
        <v>0.0353</v>
      </c>
      <c r="E48" s="71">
        <f>ค่าอำนวยการ!M1086</f>
        <v>0.0353</v>
      </c>
      <c r="F48" s="71">
        <f>ค่าอำนวยการ!M1087</f>
        <v>0.0353</v>
      </c>
      <c r="G48" s="71">
        <f>ค่าอำนวยการ!M1088</f>
        <v>0.029</v>
      </c>
      <c r="H48" s="71">
        <f>ค่าอำนวยการ!M1089</f>
        <v>0.029</v>
      </c>
      <c r="I48" s="71">
        <f>ค่าอำนวยการ!M1090</f>
        <v>0.029</v>
      </c>
      <c r="J48" s="71">
        <f>ค่าอำนวยการ!M1092</f>
        <v>0.0187</v>
      </c>
      <c r="K48" s="71">
        <f>ค่าอำนวยการ!M1092</f>
        <v>0.0187</v>
      </c>
      <c r="L48" s="71">
        <f>ค่าอำนวยการ!M1093</f>
        <v>0.0187</v>
      </c>
      <c r="M48" s="71">
        <f>ค่าอำนวยการ!M1094</f>
        <v>0.0187</v>
      </c>
      <c r="N48" s="71">
        <f>ค่าอำนวยการ!M1095</f>
        <v>0.015</v>
      </c>
      <c r="O48" s="845"/>
    </row>
    <row r="49" spans="1:15" s="68" customFormat="1" ht="19.5" customHeight="1">
      <c r="A49" s="74">
        <v>1.3</v>
      </c>
      <c r="B49" s="75" t="s">
        <v>717</v>
      </c>
      <c r="C49" s="81" t="s">
        <v>562</v>
      </c>
      <c r="D49" s="81" t="s">
        <v>562</v>
      </c>
      <c r="E49" s="81"/>
      <c r="F49" s="81" t="s">
        <v>562</v>
      </c>
      <c r="G49" s="81" t="s">
        <v>562</v>
      </c>
      <c r="H49" s="81" t="s">
        <v>562</v>
      </c>
      <c r="I49" s="81" t="s">
        <v>562</v>
      </c>
      <c r="J49" s="81" t="s">
        <v>562</v>
      </c>
      <c r="K49" s="81" t="s">
        <v>562</v>
      </c>
      <c r="L49" s="81" t="s">
        <v>562</v>
      </c>
      <c r="M49" s="81" t="s">
        <v>562</v>
      </c>
      <c r="N49" s="81" t="s">
        <v>562</v>
      </c>
      <c r="O49" s="845"/>
    </row>
    <row r="50" spans="1:15" ht="19.5" customHeight="1">
      <c r="A50" s="69" t="s">
        <v>718</v>
      </c>
      <c r="B50" s="70" t="s">
        <v>719</v>
      </c>
      <c r="C50" s="71">
        <f>ค่าอำนวยการ!M1219</f>
        <v>3.0471</v>
      </c>
      <c r="D50" s="71">
        <f>ค่าอำนวยการ!M1220</f>
        <v>3.0471</v>
      </c>
      <c r="E50" s="71">
        <f>ค่าอำนวยการ!M1221</f>
        <v>3.0471</v>
      </c>
      <c r="F50" s="71">
        <f>ค่าอำนวยการ!M1222</f>
        <v>3.0471</v>
      </c>
      <c r="G50" s="71">
        <f>ค่าอำนวยการ!M1223</f>
        <v>3.149</v>
      </c>
      <c r="H50" s="71">
        <f>ค่าอำนวยการ!M1224</f>
        <v>3.149</v>
      </c>
      <c r="I50" s="71">
        <f>ค่าอำนวยการ!M1225</f>
        <v>3.149</v>
      </c>
      <c r="J50" s="71">
        <f>ค่าอำนวยการ!M1226</f>
        <v>3.149</v>
      </c>
      <c r="K50" s="71">
        <f>ค่าอำนวยการ!M1227</f>
        <v>3.0925</v>
      </c>
      <c r="L50" s="71">
        <f>ค่าอำนวยการ!M1228</f>
        <v>3.0925</v>
      </c>
      <c r="M50" s="71">
        <f>ค่าอำนวยการ!M1229</f>
        <v>3.0925</v>
      </c>
      <c r="N50" s="71">
        <f>ค่าอำนวยการ!M1230</f>
        <v>2.5424</v>
      </c>
      <c r="O50" s="845"/>
    </row>
    <row r="51" spans="1:15" s="68" customFormat="1" ht="19.5" customHeight="1">
      <c r="A51" s="82">
        <v>1.4</v>
      </c>
      <c r="B51" s="83" t="s">
        <v>720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5"/>
    </row>
    <row r="52" spans="1:15" ht="19.5" customHeight="1">
      <c r="A52" s="77" t="s">
        <v>721</v>
      </c>
      <c r="B52" s="78" t="s">
        <v>722</v>
      </c>
      <c r="C52" s="85">
        <f>ค่าอำนวยการ!$E$1237</f>
        <v>0.3</v>
      </c>
      <c r="D52" s="85">
        <f>ค่าอำนวยการ!$E$1237</f>
        <v>0.3</v>
      </c>
      <c r="E52" s="85">
        <f>ค่าอำนวยการ!$E$1237</f>
        <v>0.3</v>
      </c>
      <c r="F52" s="85">
        <f>ค่าอำนวยการ!$E$1237</f>
        <v>0.3</v>
      </c>
      <c r="G52" s="85">
        <f>ค่าอำนวยการ!$E$1237</f>
        <v>0.3</v>
      </c>
      <c r="H52" s="85">
        <f>ค่าอำนวยการ!$E$1237</f>
        <v>0.3</v>
      </c>
      <c r="I52" s="85">
        <f>ค่าอำนวยการ!$E$1237</f>
        <v>0.3</v>
      </c>
      <c r="J52" s="85">
        <f>ค่าอำนวยการ!$E$1237</f>
        <v>0.3</v>
      </c>
      <c r="K52" s="85">
        <f>ค่าอำนวยการ!$E$1237</f>
        <v>0.3</v>
      </c>
      <c r="L52" s="85">
        <f>ค่าอำนวยการ!$E$1237</f>
        <v>0.3</v>
      </c>
      <c r="M52" s="85">
        <f>ค่าอำนวยการ!$E$1237</f>
        <v>0.3</v>
      </c>
      <c r="N52" s="85">
        <f>ค่าอำนวยการ!$E$1237</f>
        <v>0.3</v>
      </c>
      <c r="O52" s="845"/>
    </row>
    <row r="53" spans="1:15" ht="19.5" customHeight="1">
      <c r="A53" s="86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45"/>
    </row>
    <row r="54" spans="1:15" ht="19.5" customHeight="1">
      <c r="A54" s="86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45"/>
    </row>
    <row r="55" spans="1:15" ht="19.5" customHeight="1">
      <c r="A55" s="86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45"/>
    </row>
    <row r="56" spans="1:15" s="68" customFormat="1" ht="19.5" customHeight="1">
      <c r="A56" s="90"/>
      <c r="B56" s="90" t="s">
        <v>723</v>
      </c>
      <c r="C56" s="91">
        <f>SUM(C35:C52)</f>
        <v>6.775799999999999</v>
      </c>
      <c r="D56" s="91">
        <f aca="true" t="shared" si="1" ref="D56:N56">SUM(D35:D52)</f>
        <v>6.775799999999999</v>
      </c>
      <c r="E56" s="91">
        <f t="shared" si="1"/>
        <v>6.5412</v>
      </c>
      <c r="F56" s="91">
        <f t="shared" si="1"/>
        <v>6.5412</v>
      </c>
      <c r="G56" s="91">
        <f t="shared" si="1"/>
        <v>6.533</v>
      </c>
      <c r="H56" s="91">
        <f t="shared" si="1"/>
        <v>6.5224</v>
      </c>
      <c r="I56" s="91">
        <f t="shared" si="1"/>
        <v>6.2711</v>
      </c>
      <c r="J56" s="91">
        <f t="shared" si="1"/>
        <v>6.2679</v>
      </c>
      <c r="K56" s="91">
        <f t="shared" si="1"/>
        <v>6.190899999999999</v>
      </c>
      <c r="L56" s="91">
        <f t="shared" si="1"/>
        <v>6.1658</v>
      </c>
      <c r="M56" s="91">
        <f t="shared" si="1"/>
        <v>6.1658</v>
      </c>
      <c r="N56" s="91">
        <f t="shared" si="1"/>
        <v>5.550300000000001</v>
      </c>
      <c r="O56" s="845"/>
    </row>
    <row r="57" spans="1:15" ht="12.75" customHeight="1">
      <c r="A57" s="96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845"/>
    </row>
    <row r="58" spans="2:15" ht="23.25" customHeight="1">
      <c r="B58" s="851" t="s">
        <v>729</v>
      </c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45"/>
    </row>
  </sheetData>
  <sheetProtection/>
  <mergeCells count="12">
    <mergeCell ref="A1:N1"/>
    <mergeCell ref="O1:O29"/>
    <mergeCell ref="A4:A5"/>
    <mergeCell ref="B4:B5"/>
    <mergeCell ref="C4:N4"/>
    <mergeCell ref="B29:N29"/>
    <mergeCell ref="A30:N30"/>
    <mergeCell ref="O30:O58"/>
    <mergeCell ref="A33:A34"/>
    <mergeCell ref="B33:B34"/>
    <mergeCell ref="C33:N33"/>
    <mergeCell ref="B58:N58"/>
  </mergeCells>
  <printOptions horizontalCentered="1"/>
  <pageMargins left="0.2755905511811024" right="0.15748031496062992" top="0.3937007874015748" bottom="0.1968503937007874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Yota &amp; Phung Mueng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Estimate 1</dc:creator>
  <cp:keywords/>
  <dc:description/>
  <cp:lastModifiedBy>kik</cp:lastModifiedBy>
  <cp:lastPrinted>2016-10-04T02:37:11Z</cp:lastPrinted>
  <dcterms:created xsi:type="dcterms:W3CDTF">1998-09-11T23:16:25Z</dcterms:created>
  <dcterms:modified xsi:type="dcterms:W3CDTF">2016-10-04T02:37:13Z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